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3095" activeTab="1"/>
  </bookViews>
  <sheets>
    <sheet name="Раздел, подраздел" sheetId="1" r:id="rId1"/>
    <sheet name="Программа" sheetId="2" r:id="rId2"/>
  </sheets>
  <definedNames/>
  <calcPr fullCalcOnLoad="1"/>
</workbook>
</file>

<file path=xl/sharedStrings.xml><?xml version="1.0" encoding="utf-8"?>
<sst xmlns="http://schemas.openxmlformats.org/spreadsheetml/2006/main" count="162" uniqueCount="113">
  <si>
    <t>Раздел, подраздел</t>
  </si>
  <si>
    <t>Наименование</t>
  </si>
  <si>
    <t>Отклонение</t>
  </si>
  <si>
    <t xml:space="preserve">сумма, руб.     </t>
  </si>
  <si>
    <t>%/ раз</t>
  </si>
  <si>
    <t>Общегосударственные вопросы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</si>
  <si>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</si>
  <si>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</si>
  <si>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</si>
  <si>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</si>
  <si>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</si>
  <si>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</si>
  <si>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</si>
  <si>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</si>
  <si>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</si>
  <si>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 –коммунальное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</si>
  <si>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</si>
  <si>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</si>
  <si>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</si>
  <si>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</si>
  <si>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</si>
  <si>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</si>
  <si>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ВСЕГО РАСХОДОВ</t>
  </si>
  <si>
    <t>0100</t>
  </si>
  <si>
    <t>0105</t>
  </si>
  <si>
    <t>0106</t>
  </si>
  <si>
    <t>0113</t>
  </si>
  <si>
    <t>0300</t>
  </si>
  <si>
    <t>0309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</si>
  <si>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</si>
  <si>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</si>
  <si>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</si>
  <si>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</si>
  <si>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</si>
  <si>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</si>
  <si>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</si>
  <si>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</si>
  <si>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</si>
  <si>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</si>
  <si>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</si>
  <si>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0111</t>
  </si>
  <si>
    <t>Резервные фонды</t>
  </si>
  <si>
    <t>0501</t>
  </si>
  <si>
    <t>Жилищное хозяйство</t>
  </si>
  <si>
    <t>0804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</si>
  <si>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</si>
  <si>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</si>
  <si>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</si>
  <si>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0802</t>
  </si>
  <si>
    <t>Кинематография</t>
  </si>
  <si>
    <t>Наименование                                        программы, подпрограммы</t>
  </si>
  <si>
    <t>Муниципальная программа «Развитие культуры Фурмановского муниципального района»</t>
  </si>
  <si>
    <t>Подпрограмма «Организация культурного досуга, библиотечного обслуживания и музейного дела»</t>
  </si>
  <si>
    <t>Подпрограмма «Деятельность в области демонстрации кинофильмов»</t>
  </si>
  <si>
    <t>Муниципальная программа «Забота и поддержка»</t>
  </si>
  <si>
    <t>Подпрограмма «Организация льготного банного обслуживания»</t>
  </si>
  <si>
    <t>Подпрограмма «Субсидирование для предоставления коммунальных услуг»</t>
  </si>
  <si>
    <t>Подпрограмма «Субсидирование захоронения умерших не имеющих супруга, близких родственников, иных родственников либо законного представителя умершего»</t>
  </si>
  <si>
    <t>Муниципальная программа «Безопасный район»</t>
  </si>
  <si>
    <t>Подпрограмма «Стимулирование развития жилищного строительства»</t>
  </si>
  <si>
    <t>Муниципальная программа «Развитие транспортной системы Фурмановского муниципального района»</t>
  </si>
  <si>
    <t>Подпрограмма «Ремонт автомобильных дорог»</t>
  </si>
  <si>
    <t>Подпрограмма «Организация функционирования автомобильных дорог общего пользования»</t>
  </si>
  <si>
    <t>Муниципальная программа «Развитие малого и среднего предпринимательства в Фурмановском муниципальном районе»</t>
  </si>
  <si>
    <t>Подпрограмма «Финансовая поддержка субъектов малого и среднего предпринимательства»</t>
  </si>
  <si>
    <t>Муниципальная программа «Благоустройство Фурмановского муниципального района»</t>
  </si>
  <si>
    <t>Подпрограмма «Уличное освещение»</t>
  </si>
  <si>
    <t>Подпрограмма «Капитальный ремонт и ремонт объектов уличного освещения в Фурмановском муниципальном районе"</t>
  </si>
  <si>
    <t>Подпрограмма «Благоустройство территорий общего пользования»</t>
  </si>
  <si>
    <t>Подпрограмма «Содержание и благоустройство кладбищ»</t>
  </si>
  <si>
    <t>Подпрограмма «Зеленый и благоустроенный город»</t>
  </si>
  <si>
    <t>Подпрограмма «Формирование современной городской среды»</t>
  </si>
  <si>
    <t>Муниципальная программа «Развитие физической культуры и спорта на территории Фурмановского муниципального района»</t>
  </si>
  <si>
    <t>Подпрограмма «Развитие молодежной политики Фурмановского муниципального района»</t>
  </si>
  <si>
    <t>Подпрограмма «Организация и проведения спортивно-культурных мероприятий»</t>
  </si>
  <si>
    <t>Подпрограмма «Обеспечение деятельности муниципального казенного учреждения «Отдел спорта Фурмановского муниципального района»»</t>
  </si>
  <si>
    <t>Муниципальная программа «Управление муниципальным имуществом Фурмановского муниципального района»</t>
  </si>
  <si>
    <t>Подпрограмма «Управление муниципальным имуществом»</t>
  </si>
  <si>
    <t>Подпрограмма «Содержание муниципального жилищного фонда»</t>
  </si>
  <si>
    <t>Муниципальная программа «Обеспечение безопасности граждан и профилактика правонарушений на территории Фурмановского муниципального района»</t>
  </si>
  <si>
    <t>Подпрограмма «Профилактика правонарушений, терроризма и экстремизма на территории Фурмановского муниципального района»</t>
  </si>
  <si>
    <t>Подпрограмма «Осуществление мероприятий по участию в предупреждении и ликвидации последствий чрезвычайных ситуаций, втом числе по обеспечению безопасности людей на водных объектах, охране их жизни и здоровья»</t>
  </si>
  <si>
    <t>Муниципальная программа «Обеспечение доступным и комфортным жильем населения Фурмановского муниципального района»</t>
  </si>
  <si>
    <t>План на 2021 год, руб (проект)</t>
  </si>
  <si>
    <t>Муниципальная программа «Совершенствование местного самоуправления Фурмановского муниципалього района»</t>
  </si>
  <si>
    <t>Подпрограмма «Обеспечение деятельности администрации, её структурных подразделений и органов Фурмановского муниципального района»</t>
  </si>
  <si>
    <t>План на 2022 год, руб (проект)</t>
  </si>
  <si>
    <t>0107</t>
  </si>
  <si>
    <t>Проведение выборов, референдумов</t>
  </si>
  <si>
    <t>Муниципальная программа «Формирование современной городской среды на территории Фурмановского городского поселения»</t>
  </si>
  <si>
    <r>
      <t xml:space="preserve">Расходы бюджета </t>
    </r>
    <r>
      <rPr>
        <b/>
        <sz val="11"/>
        <color indexed="8"/>
        <rFont val="Times New Roman"/>
        <family val="1"/>
      </rPr>
      <t>Фурмановского городского поселения по разделам и подразделам классификации расходов бюджетов на 2021 год и на плановый период 2022 и 2023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</si>
  <si>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Исполнено (отчет) за       2019 год, руб.</t>
  </si>
  <si>
    <t>Ожидаемое исполнение (оценка) за 2020 год, руб.</t>
  </si>
  <si>
    <t>к отчету за 2019 год</t>
  </si>
  <si>
    <t>к ожидаемому исполнению за 2020 год</t>
  </si>
  <si>
    <t>План на 2023 год, руб (проект)</t>
  </si>
  <si>
    <r>
      <t xml:space="preserve">Расходы бюджета </t>
    </r>
    <r>
      <rPr>
        <b/>
        <sz val="11"/>
        <color indexed="8"/>
        <rFont val="Times New Roman"/>
        <family val="1"/>
      </rPr>
      <t>Фурмановского городского поселения в разрезе муниципальных программ на 2021 год и на плановый период 2022 и 2023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</si>
  <si>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0505</t>
  </si>
  <si>
    <t>Другие вопросы в области жилищно-коммунального хозяйства</t>
  </si>
  <si>
    <t>ИТОГО по программам</t>
  </si>
  <si>
    <t>Подпрограмма «Благоустройство общественных территорий»</t>
  </si>
  <si>
    <t>Подпрограмма «Благоустройство территорий в рамках поддержки местных инициатив»</t>
  </si>
  <si>
    <t>Подпрограмма «Развитие газификации Фурмановского муниципального района»</t>
  </si>
  <si>
    <t>в 8,5 раза</t>
  </si>
  <si>
    <t>в 5,3 раза</t>
  </si>
  <si>
    <t>в 9 раз</t>
  </si>
  <si>
    <t>в 3,8 раза</t>
  </si>
  <si>
    <t>в 3,2 раза</t>
  </si>
  <si>
    <t>в 3,7 раза</t>
  </si>
  <si>
    <t>в 27 раз</t>
  </si>
  <si>
    <t>в 157 раза</t>
  </si>
  <si>
    <t>в 10 раз</t>
  </si>
  <si>
    <t>в 2,5 раза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</si>
</sst>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49" fontId="29" fillId="0" borderId="2">
      <alignment horizontal="left" vertical="top" wrapText="1" indent="2"/>
      <protection/>
    </xf>
    <xf numFmtId="49" fontId="29" fillId="0" borderId="2">
      <alignment horizontal="center" vertical="top" shrinkToFit="1"/>
      <protection/>
    </xf>
    <xf numFmtId="4" fontId="29" fillId="0" borderId="2">
      <alignment horizontal="right" vertical="top" shrinkToFit="1"/>
      <protection/>
    </xf>
    <xf numFmtId="10" fontId="29" fillId="0" borderId="2">
      <alignment horizontal="right" vertical="top" shrinkToFit="1"/>
      <protection/>
    </xf>
    <xf numFmtId="0" fontId="29" fillId="20" borderId="3">
      <alignment shrinkToFit="1"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10" fontId="31" fillId="21" borderId="2">
      <alignment horizontal="right" vertical="top" shrinkToFit="1"/>
      <protection/>
    </xf>
    <xf numFmtId="0" fontId="29" fillId="20" borderId="4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10" fontId="31" fillId="22" borderId="2">
      <alignment horizontal="right" vertical="top" shrinkToFit="1"/>
      <protection/>
    </xf>
    <xf numFmtId="0" fontId="29" fillId="20" borderId="3">
      <alignment horizontal="center"/>
      <protection/>
    </xf>
    <xf numFmtId="0" fontId="29" fillId="20" borderId="3">
      <alignment horizontal="left"/>
      <protection/>
    </xf>
    <xf numFmtId="0" fontId="29" fillId="20" borderId="4">
      <alignment horizontal="center"/>
      <protection/>
    </xf>
    <xf numFmtId="0" fontId="29" fillId="20" borderId="4">
      <alignment horizontal="left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4" fontId="50" fillId="0" borderId="15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35" borderId="2" xfId="58" applyNumberFormat="1" applyFont="1" applyFill="1" applyAlignment="1" applyProtection="1">
      <alignment horizontal="center" vertical="center" shrinkToFit="1"/>
      <protection/>
    </xf>
    <xf numFmtId="4" fontId="49" fillId="0" borderId="15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/>
    </xf>
    <xf numFmtId="4" fontId="5" fillId="0" borderId="14" xfId="83" applyNumberFormat="1" applyFont="1" applyBorder="1" applyAlignment="1">
      <alignment horizontal="center" vertical="center" wrapText="1"/>
      <protection/>
    </xf>
    <xf numFmtId="4" fontId="49" fillId="0" borderId="14" xfId="0" applyNumberFormat="1" applyFont="1" applyBorder="1" applyAlignment="1">
      <alignment horizontal="center" vertical="center" wrapText="1"/>
    </xf>
    <xf numFmtId="4" fontId="5" fillId="0" borderId="14" xfId="83" applyNumberFormat="1" applyFont="1" applyBorder="1" applyAlignment="1">
      <alignment horizontal="center" vertical="center"/>
      <protection/>
    </xf>
    <xf numFmtId="4" fontId="49" fillId="35" borderId="2" xfId="58" applyNumberFormat="1" applyFont="1" applyFill="1" applyAlignment="1" applyProtection="1">
      <alignment horizontal="center" vertical="center" shrinkToFit="1"/>
      <protection/>
    </xf>
    <xf numFmtId="4" fontId="49" fillId="35" borderId="2" xfId="59" applyNumberFormat="1" applyFont="1" applyFill="1" applyAlignment="1" applyProtection="1">
      <alignment horizontal="center" vertical="center" shrinkToFit="1"/>
      <protection/>
    </xf>
    <xf numFmtId="0" fontId="51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52" fillId="0" borderId="0" xfId="0" applyFont="1" applyAlignment="1">
      <alignment/>
    </xf>
    <xf numFmtId="181" fontId="47" fillId="0" borderId="14" xfId="0" applyNumberFormat="1" applyFont="1" applyBorder="1" applyAlignment="1">
      <alignment horizontal="left" vertical="center" wrapText="1"/>
    </xf>
    <xf numFmtId="181" fontId="48" fillId="0" borderId="14" xfId="0" applyNumberFormat="1" applyFont="1" applyBorder="1" applyAlignment="1">
      <alignment horizontal="left" vertical="center" wrapText="1"/>
    </xf>
    <xf numFmtId="181" fontId="7" fillId="0" borderId="14" xfId="0" applyNumberFormat="1" applyFont="1" applyFill="1" applyBorder="1" applyAlignment="1">
      <alignment horizontal="left" vertical="center" wrapText="1"/>
    </xf>
    <xf numFmtId="181" fontId="8" fillId="0" borderId="14" xfId="0" applyNumberFormat="1" applyFont="1" applyFill="1" applyBorder="1" applyAlignment="1">
      <alignment horizontal="left" vertical="center" wrapText="1"/>
    </xf>
    <xf numFmtId="4" fontId="50" fillId="35" borderId="14" xfId="58" applyNumberFormat="1" applyFont="1" applyFill="1" applyBorder="1" applyAlignment="1" applyProtection="1">
      <alignment horizontal="center" vertical="center" shrinkToFit="1"/>
      <protection/>
    </xf>
    <xf numFmtId="4" fontId="49" fillId="35" borderId="14" xfId="58" applyNumberFormat="1" applyFont="1" applyFill="1" applyBorder="1" applyAlignment="1" applyProtection="1">
      <alignment horizontal="center" vertical="center" shrinkToFit="1"/>
      <protection/>
    </xf>
    <xf numFmtId="4" fontId="49" fillId="35" borderId="14" xfId="59" applyNumberFormat="1" applyFont="1" applyFill="1" applyBorder="1" applyAlignment="1" applyProtection="1">
      <alignment horizontal="center" vertical="center" shrinkToFit="1"/>
      <protection/>
    </xf>
    <xf numFmtId="4" fontId="50" fillId="35" borderId="14" xfId="59" applyNumberFormat="1" applyFont="1" applyFill="1" applyBorder="1" applyAlignment="1" applyProtection="1">
      <alignment horizontal="center" vertical="center" shrinkToFit="1"/>
      <protection/>
    </xf>
    <xf numFmtId="4" fontId="47" fillId="0" borderId="14" xfId="0" applyNumberFormat="1" applyFont="1" applyBorder="1" applyAlignment="1">
      <alignment horizontal="center" vertical="center"/>
    </xf>
    <xf numFmtId="4" fontId="6" fillId="0" borderId="14" xfId="83" applyNumberFormat="1" applyFont="1" applyBorder="1" applyAlignment="1">
      <alignment horizontal="center" vertical="center" wrapText="1"/>
      <protection/>
    </xf>
    <xf numFmtId="4" fontId="6" fillId="0" borderId="14" xfId="83" applyNumberFormat="1" applyFont="1" applyBorder="1" applyAlignment="1">
      <alignment horizontal="center" vertical="center"/>
      <protection/>
    </xf>
    <xf numFmtId="4" fontId="48" fillId="0" borderId="14" xfId="0" applyNumberFormat="1" applyFont="1" applyFill="1" applyBorder="1" applyAlignment="1">
      <alignment horizontal="center" vertical="center"/>
    </xf>
    <xf numFmtId="4" fontId="51" fillId="0" borderId="0" xfId="0" applyNumberFormat="1" applyFont="1" applyAlignment="1">
      <alignment/>
    </xf>
    <xf numFmtId="181" fontId="48" fillId="0" borderId="14" xfId="0" applyNumberFormat="1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14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zoomScalePageLayoutView="0" workbookViewId="0" topLeftCell="A19">
      <selection activeCell="A33" sqref="A33:IV33"/>
    </sheetView>
  </sheetViews>
  <sheetFormatPr defaultColWidth="9.140625" defaultRowHeight="15"/>
  <cols>
    <col min="1" max="1" width="7.28125" style="20" customWidth="1"/>
    <col min="2" max="2" width="32.57421875" style="20" customWidth="1"/>
    <col min="3" max="3" width="16.140625" style="20" customWidth="1"/>
    <col min="4" max="4" width="15.00390625" style="20" customWidth="1"/>
    <col min="5" max="5" width="15.140625" style="20" customWidth="1"/>
    <col min="6" max="6" width="13.7109375" style="20" customWidth="1"/>
    <col min="7" max="7" width="10.8515625" style="20" bestFit="1" customWidth="1"/>
    <col min="8" max="8" width="13.140625" style="20" customWidth="1"/>
    <col min="9" max="9" width="10.00390625" style="20" bestFit="1" customWidth="1"/>
    <col min="10" max="10" width="14.8515625" style="20" customWidth="1"/>
    <col min="11" max="11" width="12.140625" style="20" customWidth="1"/>
    <col min="12" max="12" width="10.00390625" style="20" customWidth="1"/>
    <col min="13" max="13" width="12.8515625" style="20" customWidth="1"/>
    <col min="14" max="14" width="9.140625" style="20" customWidth="1"/>
    <col min="15" max="15" width="15.57421875" style="20" customWidth="1"/>
    <col min="16" max="16" width="13.421875" style="20" customWidth="1"/>
    <col min="17" max="17" width="9.140625" style="20" customWidth="1"/>
    <col min="18" max="18" width="14.57421875" style="20" customWidth="1"/>
    <col min="19" max="19" width="10.00390625" style="20" bestFit="1" customWidth="1"/>
    <col min="20" max="16384" width="9.140625" style="20" customWidth="1"/>
  </cols>
  <sheetData>
    <row r="2" spans="2:13" ht="37.5" customHeight="1">
      <c r="B2" s="38" t="s">
        <v>90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5" spans="1:19" ht="27.75" customHeight="1">
      <c r="A5" s="40" t="s">
        <v>0</v>
      </c>
      <c r="B5" s="40" t="s">
        <v>1</v>
      </c>
      <c r="C5" s="40" t="s">
        <v>91</v>
      </c>
      <c r="D5" s="40" t="s">
        <v>92</v>
      </c>
      <c r="E5" s="40" t="s">
        <v>83</v>
      </c>
      <c r="F5" s="40" t="s">
        <v>2</v>
      </c>
      <c r="G5" s="40"/>
      <c r="H5" s="40"/>
      <c r="I5" s="40"/>
      <c r="J5" s="40" t="s">
        <v>86</v>
      </c>
      <c r="K5" s="40" t="s">
        <v>2</v>
      </c>
      <c r="L5" s="40"/>
      <c r="M5" s="40"/>
      <c r="N5" s="40"/>
      <c r="O5" s="40" t="s">
        <v>95</v>
      </c>
      <c r="P5" s="40" t="s">
        <v>2</v>
      </c>
      <c r="Q5" s="40"/>
      <c r="R5" s="40"/>
      <c r="S5" s="40"/>
    </row>
    <row r="6" spans="1:19" ht="27" customHeight="1">
      <c r="A6" s="40"/>
      <c r="B6" s="40"/>
      <c r="C6" s="40"/>
      <c r="D6" s="40"/>
      <c r="E6" s="40"/>
      <c r="F6" s="42" t="s">
        <v>93</v>
      </c>
      <c r="G6" s="42"/>
      <c r="H6" s="42" t="s">
        <v>94</v>
      </c>
      <c r="I6" s="42"/>
      <c r="J6" s="40"/>
      <c r="K6" s="42" t="s">
        <v>93</v>
      </c>
      <c r="L6" s="42"/>
      <c r="M6" s="42" t="s">
        <v>94</v>
      </c>
      <c r="N6" s="42"/>
      <c r="O6" s="40"/>
      <c r="P6" s="42" t="s">
        <v>93</v>
      </c>
      <c r="Q6" s="42"/>
      <c r="R6" s="42" t="s">
        <v>94</v>
      </c>
      <c r="S6" s="42"/>
    </row>
    <row r="7" spans="1:19" ht="17.25" customHeight="1">
      <c r="A7" s="40"/>
      <c r="B7" s="40"/>
      <c r="C7" s="40"/>
      <c r="D7" s="41"/>
      <c r="E7" s="40"/>
      <c r="F7" s="8" t="s">
        <v>3</v>
      </c>
      <c r="G7" s="8" t="s">
        <v>4</v>
      </c>
      <c r="H7" s="8" t="s">
        <v>3</v>
      </c>
      <c r="I7" s="8" t="s">
        <v>4</v>
      </c>
      <c r="J7" s="40"/>
      <c r="K7" s="8" t="s">
        <v>3</v>
      </c>
      <c r="L7" s="8" t="s">
        <v>4</v>
      </c>
      <c r="M7" s="8" t="s">
        <v>3</v>
      </c>
      <c r="N7" s="8" t="s">
        <v>4</v>
      </c>
      <c r="O7" s="40"/>
      <c r="P7" s="8" t="s">
        <v>3</v>
      </c>
      <c r="Q7" s="8" t="s">
        <v>4</v>
      </c>
      <c r="R7" s="8" t="s">
        <v>3</v>
      </c>
      <c r="S7" s="8" t="s">
        <v>4</v>
      </c>
    </row>
    <row r="8" spans="1:19" s="22" customFormat="1" ht="14.25">
      <c r="A8" s="6" t="s">
        <v>23</v>
      </c>
      <c r="B8" s="2" t="s">
        <v>5</v>
      </c>
      <c r="C8" s="10">
        <f>SUM(C9:C13)</f>
        <v>24817146.47</v>
      </c>
      <c r="D8" s="10">
        <f>SUM(D9:D13)</f>
        <v>34860099.11</v>
      </c>
      <c r="E8" s="10">
        <f>SUM(E9:E13)</f>
        <v>33338648.41</v>
      </c>
      <c r="F8" s="11">
        <f>E8-C8</f>
        <v>8521501.940000001</v>
      </c>
      <c r="G8" s="11">
        <f aca="true" t="shared" si="0" ref="G8:G33">E8/C8*100</f>
        <v>134.33715455683492</v>
      </c>
      <c r="H8" s="11">
        <f aca="true" t="shared" si="1" ref="H8:H33">E8-D8</f>
        <v>-1521450.6999999993</v>
      </c>
      <c r="I8" s="11">
        <f>E8/D8%</f>
        <v>95.63555256914472</v>
      </c>
      <c r="J8" s="12">
        <f>SUM(J9:J13)</f>
        <v>38522921.83</v>
      </c>
      <c r="K8" s="11">
        <f>J8-C8</f>
        <v>13705775.36</v>
      </c>
      <c r="L8" s="11">
        <f aca="true" t="shared" si="2" ref="L8:L33">J8/C8*100</f>
        <v>155.22703980720794</v>
      </c>
      <c r="M8" s="11">
        <f aca="true" t="shared" si="3" ref="M8:M33">J8-D8</f>
        <v>3662822.719999999</v>
      </c>
      <c r="N8" s="11">
        <f>J8/D8*100</f>
        <v>110.50720684540245</v>
      </c>
      <c r="O8" s="12">
        <f>SUM(O9:O13)</f>
        <v>34950504.08</v>
      </c>
      <c r="P8" s="11">
        <f>O8-C8</f>
        <v>10133357.61</v>
      </c>
      <c r="Q8" s="11">
        <f aca="true" t="shared" si="4" ref="Q8:Q33">O8/C8*100</f>
        <v>140.83208205363024</v>
      </c>
      <c r="R8" s="11">
        <f>O8-D8</f>
        <v>90404.96999999881</v>
      </c>
      <c r="S8" s="11">
        <f>O8/D8*100</f>
        <v>100.25933652602286</v>
      </c>
    </row>
    <row r="9" spans="1:19" ht="15">
      <c r="A9" s="7" t="s">
        <v>24</v>
      </c>
      <c r="B9" s="3" t="s">
        <v>6</v>
      </c>
      <c r="C9" s="13">
        <v>8112</v>
      </c>
      <c r="D9" s="14">
        <v>1800</v>
      </c>
      <c r="E9" s="15">
        <v>5787.66</v>
      </c>
      <c r="F9" s="16">
        <f aca="true" t="shared" si="5" ref="F9:F33">E9-C9</f>
        <v>-2324.34</v>
      </c>
      <c r="G9" s="16">
        <f t="shared" si="0"/>
        <v>71.34689349112426</v>
      </c>
      <c r="H9" s="16">
        <f t="shared" si="1"/>
        <v>3987.66</v>
      </c>
      <c r="I9" s="16">
        <f aca="true" t="shared" si="6" ref="I9:I33">E9/D9%</f>
        <v>321.53666666666663</v>
      </c>
      <c r="J9" s="15">
        <v>70576.8</v>
      </c>
      <c r="K9" s="16">
        <f aca="true" t="shared" si="7" ref="K9:K33">J9-C9</f>
        <v>62464.8</v>
      </c>
      <c r="L9" s="16">
        <f t="shared" si="2"/>
        <v>870.0295857988167</v>
      </c>
      <c r="M9" s="16">
        <f t="shared" si="3"/>
        <v>68776.8</v>
      </c>
      <c r="N9" s="16">
        <f aca="true" t="shared" si="8" ref="N9:N33">J9/D9*100</f>
        <v>3920.9333333333334</v>
      </c>
      <c r="O9" s="17">
        <v>0</v>
      </c>
      <c r="P9" s="16">
        <f aca="true" t="shared" si="9" ref="P9:P33">O9-C9</f>
        <v>-8112</v>
      </c>
      <c r="Q9" s="16"/>
      <c r="R9" s="16">
        <f aca="true" t="shared" si="10" ref="R9:R33">O9-D9</f>
        <v>-1800</v>
      </c>
      <c r="S9" s="16">
        <f aca="true" t="shared" si="11" ref="S9:S33">O9/D9*100</f>
        <v>0</v>
      </c>
    </row>
    <row r="10" spans="1:19" ht="48">
      <c r="A10" s="7" t="s">
        <v>25</v>
      </c>
      <c r="B10" s="3" t="s">
        <v>7</v>
      </c>
      <c r="C10" s="13">
        <v>1000</v>
      </c>
      <c r="D10" s="16">
        <v>1000</v>
      </c>
      <c r="E10" s="18">
        <v>1000</v>
      </c>
      <c r="F10" s="16">
        <f t="shared" si="5"/>
        <v>0</v>
      </c>
      <c r="G10" s="16">
        <f t="shared" si="0"/>
        <v>100</v>
      </c>
      <c r="H10" s="16">
        <f t="shared" si="1"/>
        <v>0</v>
      </c>
      <c r="I10" s="16">
        <f t="shared" si="6"/>
        <v>100</v>
      </c>
      <c r="J10" s="18">
        <v>1000</v>
      </c>
      <c r="K10" s="16">
        <f t="shared" si="7"/>
        <v>0</v>
      </c>
      <c r="L10" s="16">
        <f t="shared" si="2"/>
        <v>100</v>
      </c>
      <c r="M10" s="16">
        <f t="shared" si="3"/>
        <v>0</v>
      </c>
      <c r="N10" s="16">
        <f t="shared" si="8"/>
        <v>100</v>
      </c>
      <c r="O10" s="18">
        <v>1000</v>
      </c>
      <c r="P10" s="16">
        <f t="shared" si="9"/>
        <v>0</v>
      </c>
      <c r="Q10" s="16">
        <f t="shared" si="4"/>
        <v>100</v>
      </c>
      <c r="R10" s="16">
        <f t="shared" si="10"/>
        <v>0</v>
      </c>
      <c r="S10" s="16">
        <f t="shared" si="11"/>
        <v>100</v>
      </c>
    </row>
    <row r="11" spans="1:19" ht="15">
      <c r="A11" s="7" t="s">
        <v>87</v>
      </c>
      <c r="B11" s="3" t="s">
        <v>88</v>
      </c>
      <c r="C11" s="13">
        <v>307000</v>
      </c>
      <c r="D11" s="16">
        <v>1796900</v>
      </c>
      <c r="E11" s="18"/>
      <c r="F11" s="16">
        <f t="shared" si="5"/>
        <v>-307000</v>
      </c>
      <c r="G11" s="16"/>
      <c r="H11" s="16">
        <f t="shared" si="1"/>
        <v>-1796900</v>
      </c>
      <c r="I11" s="16"/>
      <c r="J11" s="18"/>
      <c r="K11" s="16">
        <f t="shared" si="7"/>
        <v>-307000</v>
      </c>
      <c r="L11" s="16"/>
      <c r="M11" s="16">
        <f t="shared" si="3"/>
        <v>-1796900</v>
      </c>
      <c r="N11" s="16"/>
      <c r="O11" s="18"/>
      <c r="P11" s="16">
        <f t="shared" si="9"/>
        <v>-307000</v>
      </c>
      <c r="Q11" s="16"/>
      <c r="R11" s="16">
        <f t="shared" si="10"/>
        <v>-1796900</v>
      </c>
      <c r="S11" s="16"/>
    </row>
    <row r="12" spans="1:19" ht="15">
      <c r="A12" s="7" t="s">
        <v>40</v>
      </c>
      <c r="B12" s="3" t="s">
        <v>41</v>
      </c>
      <c r="C12" s="13"/>
      <c r="D12" s="16">
        <v>335600</v>
      </c>
      <c r="E12" s="18">
        <v>500000</v>
      </c>
      <c r="F12" s="16">
        <f t="shared" si="5"/>
        <v>500000</v>
      </c>
      <c r="G12" s="16"/>
      <c r="H12" s="16">
        <f t="shared" si="1"/>
        <v>164400</v>
      </c>
      <c r="I12" s="16">
        <f t="shared" si="6"/>
        <v>148.98688915375448</v>
      </c>
      <c r="J12" s="18">
        <v>500000</v>
      </c>
      <c r="K12" s="16">
        <f t="shared" si="7"/>
        <v>500000</v>
      </c>
      <c r="L12" s="16"/>
      <c r="M12" s="16">
        <f t="shared" si="3"/>
        <v>164400</v>
      </c>
      <c r="N12" s="16">
        <f t="shared" si="8"/>
        <v>148.98688915375448</v>
      </c>
      <c r="O12" s="19">
        <v>500000</v>
      </c>
      <c r="P12" s="16">
        <f t="shared" si="9"/>
        <v>500000</v>
      </c>
      <c r="Q12" s="16"/>
      <c r="R12" s="16">
        <f t="shared" si="10"/>
        <v>164400</v>
      </c>
      <c r="S12" s="16">
        <f t="shared" si="11"/>
        <v>148.98688915375448</v>
      </c>
    </row>
    <row r="13" spans="1:19" ht="15">
      <c r="A13" s="7" t="s">
        <v>26</v>
      </c>
      <c r="B13" s="3" t="s">
        <v>8</v>
      </c>
      <c r="C13" s="13">
        <v>24501034.47</v>
      </c>
      <c r="D13" s="16">
        <v>32724799.11</v>
      </c>
      <c r="E13" s="18">
        <v>32831860.75</v>
      </c>
      <c r="F13" s="16">
        <f t="shared" si="5"/>
        <v>8330826.280000001</v>
      </c>
      <c r="G13" s="16">
        <f t="shared" si="0"/>
        <v>134.00193689862598</v>
      </c>
      <c r="H13" s="16">
        <f t="shared" si="1"/>
        <v>107061.6400000006</v>
      </c>
      <c r="I13" s="16">
        <f t="shared" si="6"/>
        <v>100.32715751635367</v>
      </c>
      <c r="J13" s="18">
        <v>37951345.03</v>
      </c>
      <c r="K13" s="16">
        <f t="shared" si="7"/>
        <v>13450310.560000002</v>
      </c>
      <c r="L13" s="16">
        <f t="shared" si="2"/>
        <v>154.89690884876342</v>
      </c>
      <c r="M13" s="16">
        <f t="shared" si="3"/>
        <v>5226545.920000002</v>
      </c>
      <c r="N13" s="16">
        <f t="shared" si="8"/>
        <v>115.97120857008679</v>
      </c>
      <c r="O13" s="18">
        <v>34449504.08</v>
      </c>
      <c r="P13" s="16">
        <f t="shared" si="9"/>
        <v>9948469.61</v>
      </c>
      <c r="Q13" s="16">
        <f t="shared" si="4"/>
        <v>140.60428396270893</v>
      </c>
      <c r="R13" s="16">
        <f t="shared" si="10"/>
        <v>1724704.9699999988</v>
      </c>
      <c r="S13" s="16">
        <f t="shared" si="11"/>
        <v>105.27033019882761</v>
      </c>
    </row>
    <row r="14" spans="1:19" s="22" customFormat="1" ht="24">
      <c r="A14" s="6" t="s">
        <v>27</v>
      </c>
      <c r="B14" s="2" t="s">
        <v>9</v>
      </c>
      <c r="C14" s="11">
        <f>SUM(C15:C16)</f>
        <v>749040.55</v>
      </c>
      <c r="D14" s="11">
        <f>SUM(D15:D16)</f>
        <v>370093</v>
      </c>
      <c r="E14" s="11">
        <f>SUM(E15:E16)</f>
        <v>316791</v>
      </c>
      <c r="F14" s="11">
        <f t="shared" si="5"/>
        <v>-432249.55000000005</v>
      </c>
      <c r="G14" s="11">
        <f t="shared" si="0"/>
        <v>42.29290390219862</v>
      </c>
      <c r="H14" s="11">
        <f t="shared" si="1"/>
        <v>-53302</v>
      </c>
      <c r="I14" s="11">
        <f t="shared" si="6"/>
        <v>85.59767409813209</v>
      </c>
      <c r="J14" s="12">
        <f>SUM(J15:J16)</f>
        <v>316791</v>
      </c>
      <c r="K14" s="11">
        <f t="shared" si="7"/>
        <v>-432249.55000000005</v>
      </c>
      <c r="L14" s="11">
        <f t="shared" si="2"/>
        <v>42.29290390219862</v>
      </c>
      <c r="M14" s="11">
        <f t="shared" si="3"/>
        <v>-53302</v>
      </c>
      <c r="N14" s="11">
        <f t="shared" si="8"/>
        <v>85.59767409813209</v>
      </c>
      <c r="O14" s="12">
        <f>SUM(O15:O16)</f>
        <v>316791</v>
      </c>
      <c r="P14" s="11">
        <f t="shared" si="9"/>
        <v>-432249.55000000005</v>
      </c>
      <c r="Q14" s="11">
        <f t="shared" si="4"/>
        <v>42.29290390219862</v>
      </c>
      <c r="R14" s="11">
        <f t="shared" si="10"/>
        <v>-53302</v>
      </c>
      <c r="S14" s="11">
        <f t="shared" si="11"/>
        <v>85.59767409813209</v>
      </c>
    </row>
    <row r="15" spans="1:19" ht="48">
      <c r="A15" s="7" t="s">
        <v>28</v>
      </c>
      <c r="B15" s="3" t="s">
        <v>10</v>
      </c>
      <c r="C15" s="16">
        <v>458773.41</v>
      </c>
      <c r="D15" s="16">
        <v>189833</v>
      </c>
      <c r="E15" s="18">
        <v>80723</v>
      </c>
      <c r="F15" s="16">
        <f t="shared" si="5"/>
        <v>-378050.41</v>
      </c>
      <c r="G15" s="16">
        <f t="shared" si="0"/>
        <v>17.595396385331053</v>
      </c>
      <c r="H15" s="16">
        <f t="shared" si="1"/>
        <v>-109110</v>
      </c>
      <c r="I15" s="16">
        <f t="shared" si="6"/>
        <v>42.52316509774381</v>
      </c>
      <c r="J15" s="18">
        <v>80723</v>
      </c>
      <c r="K15" s="16">
        <f t="shared" si="7"/>
        <v>-378050.41</v>
      </c>
      <c r="L15" s="16">
        <f t="shared" si="2"/>
        <v>17.595396385331053</v>
      </c>
      <c r="M15" s="16">
        <f t="shared" si="3"/>
        <v>-109110</v>
      </c>
      <c r="N15" s="16">
        <f t="shared" si="8"/>
        <v>42.52316509774381</v>
      </c>
      <c r="O15" s="19">
        <v>80723</v>
      </c>
      <c r="P15" s="16">
        <f t="shared" si="9"/>
        <v>-378050.41</v>
      </c>
      <c r="Q15" s="16">
        <f t="shared" si="4"/>
        <v>17.595396385331053</v>
      </c>
      <c r="R15" s="16">
        <f t="shared" si="10"/>
        <v>-109110</v>
      </c>
      <c r="S15" s="16">
        <f t="shared" si="11"/>
        <v>42.52316509774381</v>
      </c>
    </row>
    <row r="16" spans="1:19" ht="13.5" customHeight="1">
      <c r="A16" s="7" t="s">
        <v>29</v>
      </c>
      <c r="B16" s="3" t="s">
        <v>11</v>
      </c>
      <c r="C16" s="16">
        <v>290267.14</v>
      </c>
      <c r="D16" s="16">
        <v>180260</v>
      </c>
      <c r="E16" s="21">
        <v>236068</v>
      </c>
      <c r="F16" s="16">
        <f t="shared" si="5"/>
        <v>-54199.140000000014</v>
      </c>
      <c r="G16" s="16">
        <f t="shared" si="0"/>
        <v>81.32784165648236</v>
      </c>
      <c r="H16" s="16">
        <f t="shared" si="1"/>
        <v>55808</v>
      </c>
      <c r="I16" s="16">
        <f t="shared" si="6"/>
        <v>130.95972484189505</v>
      </c>
      <c r="J16" s="21">
        <v>236068</v>
      </c>
      <c r="K16" s="16">
        <f t="shared" si="7"/>
        <v>-54199.140000000014</v>
      </c>
      <c r="L16" s="16">
        <f t="shared" si="2"/>
        <v>81.32784165648236</v>
      </c>
      <c r="M16" s="16">
        <f t="shared" si="3"/>
        <v>55808</v>
      </c>
      <c r="N16" s="16">
        <f t="shared" si="8"/>
        <v>130.95972484189505</v>
      </c>
      <c r="O16" s="16">
        <v>236068</v>
      </c>
      <c r="P16" s="16">
        <f t="shared" si="9"/>
        <v>-54199.140000000014</v>
      </c>
      <c r="Q16" s="16">
        <f t="shared" si="4"/>
        <v>81.32784165648236</v>
      </c>
      <c r="R16" s="16">
        <f t="shared" si="10"/>
        <v>55808</v>
      </c>
      <c r="S16" s="16">
        <f t="shared" si="11"/>
        <v>130.95972484189505</v>
      </c>
    </row>
    <row r="17" spans="1:19" s="22" customFormat="1" ht="14.25">
      <c r="A17" s="6" t="s">
        <v>30</v>
      </c>
      <c r="B17" s="2" t="s">
        <v>12</v>
      </c>
      <c r="C17" s="11">
        <f>SUM(C18:C19)</f>
        <v>96615733.53</v>
      </c>
      <c r="D17" s="11">
        <f>SUM(D18:D19)</f>
        <v>69034516.4</v>
      </c>
      <c r="E17" s="11">
        <f>SUM(E18:E19)</f>
        <v>48191759.43</v>
      </c>
      <c r="F17" s="11">
        <f t="shared" si="5"/>
        <v>-48423974.1</v>
      </c>
      <c r="G17" s="11">
        <f t="shared" si="0"/>
        <v>49.879825644584116</v>
      </c>
      <c r="H17" s="11">
        <f t="shared" si="1"/>
        <v>-20842756.970000006</v>
      </c>
      <c r="I17" s="11">
        <f t="shared" si="6"/>
        <v>69.80820891214354</v>
      </c>
      <c r="J17" s="12">
        <f>SUM(J18:J19)</f>
        <v>46609690.5</v>
      </c>
      <c r="K17" s="11">
        <f t="shared" si="7"/>
        <v>-50006043.03</v>
      </c>
      <c r="L17" s="11">
        <f t="shared" si="2"/>
        <v>48.242339831252536</v>
      </c>
      <c r="M17" s="11">
        <f t="shared" si="3"/>
        <v>-22424825.900000006</v>
      </c>
      <c r="N17" s="11">
        <f t="shared" si="8"/>
        <v>67.51650178866177</v>
      </c>
      <c r="O17" s="12">
        <f>SUM(O18:O19)</f>
        <v>38725000</v>
      </c>
      <c r="P17" s="11">
        <f t="shared" si="9"/>
        <v>-57890733.53</v>
      </c>
      <c r="Q17" s="11">
        <f t="shared" si="4"/>
        <v>40.08146353096368</v>
      </c>
      <c r="R17" s="11">
        <f t="shared" si="10"/>
        <v>-30309516.400000006</v>
      </c>
      <c r="S17" s="11">
        <f t="shared" si="11"/>
        <v>56.095127509287515</v>
      </c>
    </row>
    <row r="18" spans="1:19" ht="18" customHeight="1">
      <c r="A18" s="7" t="s">
        <v>31</v>
      </c>
      <c r="B18" s="3" t="s">
        <v>13</v>
      </c>
      <c r="C18" s="16">
        <v>84710831.53</v>
      </c>
      <c r="D18" s="16">
        <v>68416836.4</v>
      </c>
      <c r="E18" s="15">
        <v>45442759.43</v>
      </c>
      <c r="F18" s="16">
        <f t="shared" si="5"/>
        <v>-39268072.1</v>
      </c>
      <c r="G18" s="16">
        <f t="shared" si="0"/>
        <v>53.64456777160383</v>
      </c>
      <c r="H18" s="16">
        <f t="shared" si="1"/>
        <v>-22974076.970000006</v>
      </c>
      <c r="I18" s="16">
        <f t="shared" si="6"/>
        <v>66.42043365512878</v>
      </c>
      <c r="J18" s="15">
        <v>44434690.5</v>
      </c>
      <c r="K18" s="16">
        <f t="shared" si="7"/>
        <v>-40276141.03</v>
      </c>
      <c r="L18" s="16">
        <f t="shared" si="2"/>
        <v>52.45455592566534</v>
      </c>
      <c r="M18" s="16">
        <f t="shared" si="3"/>
        <v>-23982145.900000006</v>
      </c>
      <c r="N18" s="16">
        <f t="shared" si="8"/>
        <v>64.94701134704907</v>
      </c>
      <c r="O18" s="17">
        <v>36550000</v>
      </c>
      <c r="P18" s="16">
        <f t="shared" si="9"/>
        <v>-48160831.53</v>
      </c>
      <c r="Q18" s="16">
        <f t="shared" si="4"/>
        <v>43.1467845845144</v>
      </c>
      <c r="R18" s="16">
        <f t="shared" si="10"/>
        <v>-31866836.400000006</v>
      </c>
      <c r="S18" s="16">
        <f t="shared" si="11"/>
        <v>53.42252276370966</v>
      </c>
    </row>
    <row r="19" spans="1:19" ht="24">
      <c r="A19" s="7" t="s">
        <v>32</v>
      </c>
      <c r="B19" s="3" t="s">
        <v>14</v>
      </c>
      <c r="C19" s="16">
        <v>11904902</v>
      </c>
      <c r="D19" s="16">
        <v>617680</v>
      </c>
      <c r="E19" s="18">
        <v>2749000</v>
      </c>
      <c r="F19" s="16">
        <f t="shared" si="5"/>
        <v>-9155902</v>
      </c>
      <c r="G19" s="16">
        <f t="shared" si="0"/>
        <v>23.09132826124902</v>
      </c>
      <c r="H19" s="16">
        <f t="shared" si="1"/>
        <v>2131320</v>
      </c>
      <c r="I19" s="16">
        <f t="shared" si="6"/>
        <v>445.05245434529206</v>
      </c>
      <c r="J19" s="18">
        <v>2175000</v>
      </c>
      <c r="K19" s="16">
        <f t="shared" si="7"/>
        <v>-9729902</v>
      </c>
      <c r="L19" s="16">
        <f t="shared" si="2"/>
        <v>18.269785001170106</v>
      </c>
      <c r="M19" s="16">
        <f t="shared" si="3"/>
        <v>1557320</v>
      </c>
      <c r="N19" s="16">
        <f t="shared" si="8"/>
        <v>352.12407719207357</v>
      </c>
      <c r="O19" s="19">
        <v>2175000</v>
      </c>
      <c r="P19" s="16">
        <f t="shared" si="9"/>
        <v>-9729902</v>
      </c>
      <c r="Q19" s="16">
        <f t="shared" si="4"/>
        <v>18.269785001170106</v>
      </c>
      <c r="R19" s="16">
        <f t="shared" si="10"/>
        <v>1557320</v>
      </c>
      <c r="S19" s="16">
        <f t="shared" si="11"/>
        <v>352.12407719207357</v>
      </c>
    </row>
    <row r="20" spans="1:19" s="22" customFormat="1" ht="14.25">
      <c r="A20" s="6" t="s">
        <v>33</v>
      </c>
      <c r="B20" s="2" t="s">
        <v>15</v>
      </c>
      <c r="C20" s="11">
        <f>SUM(C21:C24)</f>
        <v>106071689.13</v>
      </c>
      <c r="D20" s="11">
        <f>SUM(D21:D24)</f>
        <v>138964403.51</v>
      </c>
      <c r="E20" s="11">
        <f>SUM(E21:E24)</f>
        <v>108435325.35</v>
      </c>
      <c r="F20" s="11">
        <f t="shared" si="5"/>
        <v>2363636.219999999</v>
      </c>
      <c r="G20" s="11">
        <f t="shared" si="0"/>
        <v>102.22833843732153</v>
      </c>
      <c r="H20" s="11">
        <f t="shared" si="1"/>
        <v>-30529078.159999996</v>
      </c>
      <c r="I20" s="11">
        <f t="shared" si="6"/>
        <v>78.03100838136358</v>
      </c>
      <c r="J20" s="12">
        <f>SUM(J21:J23)</f>
        <v>68909606.6</v>
      </c>
      <c r="K20" s="11">
        <f t="shared" si="7"/>
        <v>-37162082.53</v>
      </c>
      <c r="L20" s="11">
        <f t="shared" si="2"/>
        <v>64.9651261002786</v>
      </c>
      <c r="M20" s="11">
        <f t="shared" si="3"/>
        <v>-70054796.91</v>
      </c>
      <c r="N20" s="11">
        <f t="shared" si="8"/>
        <v>49.58795551915654</v>
      </c>
      <c r="O20" s="12">
        <f>SUM(O21:O23)</f>
        <v>66596664.08</v>
      </c>
      <c r="P20" s="11">
        <f t="shared" si="9"/>
        <v>-39475025.05</v>
      </c>
      <c r="Q20" s="11">
        <f t="shared" si="4"/>
        <v>62.784579585962895</v>
      </c>
      <c r="R20" s="11">
        <f t="shared" si="10"/>
        <v>-72367739.42999999</v>
      </c>
      <c r="S20" s="11">
        <f t="shared" si="11"/>
        <v>47.923541855240394</v>
      </c>
    </row>
    <row r="21" spans="1:19" ht="15">
      <c r="A21" s="7" t="s">
        <v>42</v>
      </c>
      <c r="B21" s="3" t="s">
        <v>43</v>
      </c>
      <c r="C21" s="16">
        <v>2407117.6</v>
      </c>
      <c r="D21" s="16">
        <v>1515122.27</v>
      </c>
      <c r="E21" s="18">
        <v>3340400</v>
      </c>
      <c r="F21" s="16">
        <f t="shared" si="5"/>
        <v>933282.3999999999</v>
      </c>
      <c r="G21" s="16">
        <f t="shared" si="0"/>
        <v>138.77178248374736</v>
      </c>
      <c r="H21" s="16">
        <f t="shared" si="1"/>
        <v>1825277.73</v>
      </c>
      <c r="I21" s="16">
        <f t="shared" si="6"/>
        <v>220.47065548049795</v>
      </c>
      <c r="J21" s="18">
        <v>2449900</v>
      </c>
      <c r="K21" s="16">
        <f t="shared" si="7"/>
        <v>42782.39999999991</v>
      </c>
      <c r="L21" s="16">
        <f t="shared" si="2"/>
        <v>101.77732903452662</v>
      </c>
      <c r="M21" s="16">
        <f t="shared" si="3"/>
        <v>934777.73</v>
      </c>
      <c r="N21" s="16">
        <f t="shared" si="8"/>
        <v>161.69652103390968</v>
      </c>
      <c r="O21" s="18">
        <v>2449900</v>
      </c>
      <c r="P21" s="16">
        <f t="shared" si="9"/>
        <v>42782.39999999991</v>
      </c>
      <c r="Q21" s="16">
        <f t="shared" si="4"/>
        <v>101.77732903452662</v>
      </c>
      <c r="R21" s="16">
        <f t="shared" si="10"/>
        <v>934777.73</v>
      </c>
      <c r="S21" s="16">
        <f t="shared" si="11"/>
        <v>161.69652103390968</v>
      </c>
    </row>
    <row r="22" spans="1:19" ht="15">
      <c r="A22" s="7" t="s">
        <v>34</v>
      </c>
      <c r="B22" s="3" t="s">
        <v>16</v>
      </c>
      <c r="C22" s="16">
        <v>51861786.23</v>
      </c>
      <c r="D22" s="16">
        <v>29308814.87</v>
      </c>
      <c r="E22" s="18">
        <v>55507661.93</v>
      </c>
      <c r="F22" s="16">
        <f t="shared" si="5"/>
        <v>3645875.700000003</v>
      </c>
      <c r="G22" s="16">
        <f t="shared" si="0"/>
        <v>107.02998482125363</v>
      </c>
      <c r="H22" s="16">
        <f t="shared" si="1"/>
        <v>26198847.06</v>
      </c>
      <c r="I22" s="16">
        <f t="shared" si="6"/>
        <v>189.38896770888095</v>
      </c>
      <c r="J22" s="18">
        <v>42277674.6</v>
      </c>
      <c r="K22" s="16">
        <f t="shared" si="7"/>
        <v>-9584111.629999995</v>
      </c>
      <c r="L22" s="16">
        <f t="shared" si="2"/>
        <v>81.51989677429205</v>
      </c>
      <c r="M22" s="16">
        <f t="shared" si="3"/>
        <v>12968859.73</v>
      </c>
      <c r="N22" s="16">
        <f t="shared" si="8"/>
        <v>144.24900763652064</v>
      </c>
      <c r="O22" s="19">
        <v>40747450.8</v>
      </c>
      <c r="P22" s="16">
        <f t="shared" si="9"/>
        <v>-11114335.43</v>
      </c>
      <c r="Q22" s="16">
        <f t="shared" si="4"/>
        <v>78.56931618068566</v>
      </c>
      <c r="R22" s="16">
        <f t="shared" si="10"/>
        <v>11438635.929999996</v>
      </c>
      <c r="S22" s="16">
        <f t="shared" si="11"/>
        <v>139.02797155305103</v>
      </c>
    </row>
    <row r="23" spans="1:19" ht="15">
      <c r="A23" s="7" t="s">
        <v>35</v>
      </c>
      <c r="B23" s="4" t="s">
        <v>17</v>
      </c>
      <c r="C23" s="16">
        <v>51802785.3</v>
      </c>
      <c r="D23" s="16">
        <v>38140466.37</v>
      </c>
      <c r="E23" s="18">
        <v>49587263.42</v>
      </c>
      <c r="F23" s="16">
        <f t="shared" si="5"/>
        <v>-2215521.879999995</v>
      </c>
      <c r="G23" s="16">
        <f t="shared" si="0"/>
        <v>95.72316070039578</v>
      </c>
      <c r="H23" s="16">
        <f t="shared" si="1"/>
        <v>11446797.050000004</v>
      </c>
      <c r="I23" s="16">
        <f t="shared" si="6"/>
        <v>130.0122104930622</v>
      </c>
      <c r="J23" s="18">
        <v>24182032</v>
      </c>
      <c r="K23" s="16">
        <f t="shared" si="7"/>
        <v>-27620753.299999997</v>
      </c>
      <c r="L23" s="16">
        <f t="shared" si="2"/>
        <v>46.680949412193094</v>
      </c>
      <c r="M23" s="16">
        <f t="shared" si="3"/>
        <v>-13958434.369999997</v>
      </c>
      <c r="N23" s="16">
        <f t="shared" si="8"/>
        <v>63.40255980461941</v>
      </c>
      <c r="O23" s="19">
        <v>23399313.28</v>
      </c>
      <c r="P23" s="16">
        <f t="shared" si="9"/>
        <v>-28403472.019999996</v>
      </c>
      <c r="Q23" s="16">
        <f t="shared" si="4"/>
        <v>45.16999065685374</v>
      </c>
      <c r="R23" s="16">
        <f t="shared" si="10"/>
        <v>-14741153.089999996</v>
      </c>
      <c r="S23" s="16">
        <f t="shared" si="11"/>
        <v>61.35035962330316</v>
      </c>
    </row>
    <row r="24" spans="1:19" ht="24">
      <c r="A24" s="7" t="s">
        <v>97</v>
      </c>
      <c r="B24" s="4" t="s">
        <v>98</v>
      </c>
      <c r="C24" s="16"/>
      <c r="D24" s="16">
        <v>70000000</v>
      </c>
      <c r="E24" s="18"/>
      <c r="F24" s="16">
        <f t="shared" si="5"/>
        <v>0</v>
      </c>
      <c r="G24" s="16"/>
      <c r="H24" s="16">
        <f t="shared" si="1"/>
        <v>-70000000</v>
      </c>
      <c r="I24" s="16"/>
      <c r="J24" s="18"/>
      <c r="K24" s="16">
        <f t="shared" si="7"/>
        <v>0</v>
      </c>
      <c r="L24" s="16"/>
      <c r="M24" s="16">
        <f t="shared" si="3"/>
        <v>-70000000</v>
      </c>
      <c r="N24" s="16"/>
      <c r="O24" s="19"/>
      <c r="P24" s="16">
        <f t="shared" si="9"/>
        <v>0</v>
      </c>
      <c r="Q24" s="16"/>
      <c r="R24" s="16">
        <f t="shared" si="10"/>
        <v>-70000000</v>
      </c>
      <c r="S24" s="16"/>
    </row>
    <row r="25" spans="1:19" s="22" customFormat="1" ht="14.25">
      <c r="A25" s="6" t="s">
        <v>36</v>
      </c>
      <c r="B25" s="2" t="s">
        <v>18</v>
      </c>
      <c r="C25" s="11">
        <f>SUM(C26)</f>
        <v>496057.31</v>
      </c>
      <c r="D25" s="11">
        <f>SUM(D26)</f>
        <v>95093</v>
      </c>
      <c r="E25" s="11">
        <f>SUM(E26)</f>
        <v>500000</v>
      </c>
      <c r="F25" s="11">
        <f t="shared" si="5"/>
        <v>3942.6900000000023</v>
      </c>
      <c r="G25" s="11">
        <f t="shared" si="0"/>
        <v>100.79480534214889</v>
      </c>
      <c r="H25" s="11">
        <f t="shared" si="1"/>
        <v>404907</v>
      </c>
      <c r="I25" s="11">
        <f t="shared" si="6"/>
        <v>525.8010579117285</v>
      </c>
      <c r="J25" s="12">
        <f>SUM(J26)</f>
        <v>500000</v>
      </c>
      <c r="K25" s="11">
        <f t="shared" si="7"/>
        <v>3942.6900000000023</v>
      </c>
      <c r="L25" s="11">
        <f t="shared" si="2"/>
        <v>100.79480534214889</v>
      </c>
      <c r="M25" s="11">
        <f t="shared" si="3"/>
        <v>404907</v>
      </c>
      <c r="N25" s="11">
        <f t="shared" si="8"/>
        <v>525.8010579117285</v>
      </c>
      <c r="O25" s="12">
        <f>SUM(O26)</f>
        <v>500000</v>
      </c>
      <c r="P25" s="11">
        <f t="shared" si="9"/>
        <v>3942.6900000000023</v>
      </c>
      <c r="Q25" s="11">
        <f t="shared" si="4"/>
        <v>100.79480534214889</v>
      </c>
      <c r="R25" s="11">
        <f t="shared" si="10"/>
        <v>404907</v>
      </c>
      <c r="S25" s="11">
        <f t="shared" si="11"/>
        <v>525.8010579117285</v>
      </c>
    </row>
    <row r="26" spans="1:19" ht="24">
      <c r="A26" s="7" t="s">
        <v>37</v>
      </c>
      <c r="B26" s="3" t="s">
        <v>19</v>
      </c>
      <c r="C26" s="16">
        <v>496057.31</v>
      </c>
      <c r="D26" s="16">
        <v>95093</v>
      </c>
      <c r="E26" s="18">
        <v>500000</v>
      </c>
      <c r="F26" s="16">
        <f t="shared" si="5"/>
        <v>3942.6900000000023</v>
      </c>
      <c r="G26" s="16">
        <f t="shared" si="0"/>
        <v>100.79480534214889</v>
      </c>
      <c r="H26" s="16">
        <f t="shared" si="1"/>
        <v>404907</v>
      </c>
      <c r="I26" s="16">
        <f t="shared" si="6"/>
        <v>525.8010579117285</v>
      </c>
      <c r="J26" s="18">
        <v>500000</v>
      </c>
      <c r="K26" s="16">
        <f t="shared" si="7"/>
        <v>3942.6900000000023</v>
      </c>
      <c r="L26" s="16">
        <f t="shared" si="2"/>
        <v>100.79480534214889</v>
      </c>
      <c r="M26" s="16">
        <f t="shared" si="3"/>
        <v>404907</v>
      </c>
      <c r="N26" s="16">
        <f t="shared" si="8"/>
        <v>525.8010579117285</v>
      </c>
      <c r="O26" s="18">
        <v>500000</v>
      </c>
      <c r="P26" s="16">
        <f t="shared" si="9"/>
        <v>3942.6900000000023</v>
      </c>
      <c r="Q26" s="16">
        <f t="shared" si="4"/>
        <v>100.79480534214889</v>
      </c>
      <c r="R26" s="16">
        <f t="shared" si="10"/>
        <v>404907</v>
      </c>
      <c r="S26" s="16">
        <f t="shared" si="11"/>
        <v>525.8010579117285</v>
      </c>
    </row>
    <row r="27" spans="1:19" s="22" customFormat="1" ht="14.25">
      <c r="A27" s="6" t="s">
        <v>38</v>
      </c>
      <c r="B27" s="5" t="s">
        <v>20</v>
      </c>
      <c r="C27" s="11">
        <f>SUM(C28:C30)</f>
        <v>42823136.63</v>
      </c>
      <c r="D27" s="11">
        <f>SUM(D28:D30)</f>
        <v>37860035.57</v>
      </c>
      <c r="E27" s="11">
        <f>SUM(E28:E30)</f>
        <v>36989243.91</v>
      </c>
      <c r="F27" s="11">
        <f t="shared" si="5"/>
        <v>-5833892.720000006</v>
      </c>
      <c r="G27" s="11">
        <f t="shared" si="0"/>
        <v>86.37677391451743</v>
      </c>
      <c r="H27" s="11">
        <f t="shared" si="1"/>
        <v>-870791.6600000039</v>
      </c>
      <c r="I27" s="11">
        <f t="shared" si="6"/>
        <v>97.69997136323344</v>
      </c>
      <c r="J27" s="12">
        <f>SUM(J28:J30)</f>
        <v>34368241.91</v>
      </c>
      <c r="K27" s="11">
        <f t="shared" si="7"/>
        <v>-8454894.720000006</v>
      </c>
      <c r="L27" s="11">
        <f t="shared" si="2"/>
        <v>80.25624607311721</v>
      </c>
      <c r="M27" s="11">
        <f t="shared" si="3"/>
        <v>-3491793.660000004</v>
      </c>
      <c r="N27" s="11">
        <f t="shared" si="8"/>
        <v>90.7770988393712</v>
      </c>
      <c r="O27" s="12">
        <f>SUM(O28:O30)</f>
        <v>34368241.91</v>
      </c>
      <c r="P27" s="11">
        <f t="shared" si="9"/>
        <v>-8454894.720000006</v>
      </c>
      <c r="Q27" s="11">
        <f t="shared" si="4"/>
        <v>80.25624607311721</v>
      </c>
      <c r="R27" s="11">
        <f t="shared" si="10"/>
        <v>-3491793.660000004</v>
      </c>
      <c r="S27" s="11">
        <f t="shared" si="11"/>
        <v>90.7770988393712</v>
      </c>
    </row>
    <row r="28" spans="1:19" ht="15">
      <c r="A28" s="7" t="s">
        <v>39</v>
      </c>
      <c r="B28" s="4" t="s">
        <v>21</v>
      </c>
      <c r="C28" s="16">
        <v>34788920.59</v>
      </c>
      <c r="D28" s="16">
        <v>29302766.57</v>
      </c>
      <c r="E28" s="18">
        <v>30295442.91</v>
      </c>
      <c r="F28" s="16">
        <f t="shared" si="5"/>
        <v>-4493477.680000003</v>
      </c>
      <c r="G28" s="16">
        <f t="shared" si="0"/>
        <v>87.08359557067821</v>
      </c>
      <c r="H28" s="16">
        <f t="shared" si="1"/>
        <v>992676.3399999999</v>
      </c>
      <c r="I28" s="16">
        <f t="shared" si="6"/>
        <v>103.38765398696619</v>
      </c>
      <c r="J28" s="18">
        <v>27674440.91</v>
      </c>
      <c r="K28" s="16">
        <f t="shared" si="7"/>
        <v>-7114479.680000003</v>
      </c>
      <c r="L28" s="16">
        <f t="shared" si="2"/>
        <v>79.54958199523718</v>
      </c>
      <c r="M28" s="16">
        <f t="shared" si="3"/>
        <v>-1628325.6600000001</v>
      </c>
      <c r="N28" s="16">
        <f t="shared" si="8"/>
        <v>94.44309923395741</v>
      </c>
      <c r="O28" s="19">
        <v>27674440.91</v>
      </c>
      <c r="P28" s="16">
        <f t="shared" si="9"/>
        <v>-7114479.680000003</v>
      </c>
      <c r="Q28" s="16">
        <f t="shared" si="4"/>
        <v>79.54958199523718</v>
      </c>
      <c r="R28" s="16">
        <f t="shared" si="10"/>
        <v>-1628325.6600000001</v>
      </c>
      <c r="S28" s="16">
        <f t="shared" si="11"/>
        <v>94.44309923395741</v>
      </c>
    </row>
    <row r="29" spans="1:19" ht="15">
      <c r="A29" s="7" t="s">
        <v>48</v>
      </c>
      <c r="B29" s="4" t="s">
        <v>49</v>
      </c>
      <c r="C29" s="16">
        <v>759800</v>
      </c>
      <c r="D29" s="16">
        <v>640803</v>
      </c>
      <c r="E29" s="18">
        <v>786101</v>
      </c>
      <c r="F29" s="16">
        <f t="shared" si="5"/>
        <v>26301</v>
      </c>
      <c r="G29" s="16">
        <f t="shared" si="0"/>
        <v>103.46156883390366</v>
      </c>
      <c r="H29" s="16">
        <f t="shared" si="1"/>
        <v>145298</v>
      </c>
      <c r="I29" s="16">
        <f t="shared" si="6"/>
        <v>122.67436325984741</v>
      </c>
      <c r="J29" s="18">
        <v>786101</v>
      </c>
      <c r="K29" s="16">
        <f t="shared" si="7"/>
        <v>26301</v>
      </c>
      <c r="L29" s="16">
        <f t="shared" si="2"/>
        <v>103.46156883390366</v>
      </c>
      <c r="M29" s="16">
        <f t="shared" si="3"/>
        <v>145298</v>
      </c>
      <c r="N29" s="16">
        <f t="shared" si="8"/>
        <v>122.67436325984742</v>
      </c>
      <c r="O29" s="19">
        <v>786101</v>
      </c>
      <c r="P29" s="16">
        <f t="shared" si="9"/>
        <v>26301</v>
      </c>
      <c r="Q29" s="16">
        <f t="shared" si="4"/>
        <v>103.46156883390366</v>
      </c>
      <c r="R29" s="16">
        <f t="shared" si="10"/>
        <v>145298</v>
      </c>
      <c r="S29" s="16">
        <f t="shared" si="11"/>
        <v>122.67436325984742</v>
      </c>
    </row>
    <row r="30" spans="1:19" ht="24">
      <c r="A30" s="7" t="s">
        <v>44</v>
      </c>
      <c r="B30" s="4" t="s">
        <v>45</v>
      </c>
      <c r="C30" s="16">
        <v>7274416.04</v>
      </c>
      <c r="D30" s="16">
        <f>7466990+449476</f>
        <v>7916466</v>
      </c>
      <c r="E30" s="18">
        <v>5907700</v>
      </c>
      <c r="F30" s="16">
        <f t="shared" si="5"/>
        <v>-1366716.04</v>
      </c>
      <c r="G30" s="16">
        <f t="shared" si="0"/>
        <v>81.21201712295796</v>
      </c>
      <c r="H30" s="16">
        <f t="shared" si="1"/>
        <v>-2008766</v>
      </c>
      <c r="I30" s="16">
        <f t="shared" si="6"/>
        <v>74.62547050666295</v>
      </c>
      <c r="J30" s="18">
        <v>5907700</v>
      </c>
      <c r="K30" s="16">
        <f t="shared" si="7"/>
        <v>-1366716.04</v>
      </c>
      <c r="L30" s="16">
        <f t="shared" si="2"/>
        <v>81.21201712295796</v>
      </c>
      <c r="M30" s="16">
        <f t="shared" si="3"/>
        <v>-2008766</v>
      </c>
      <c r="N30" s="16">
        <f t="shared" si="8"/>
        <v>74.62547050666295</v>
      </c>
      <c r="O30" s="19">
        <v>5907700</v>
      </c>
      <c r="P30" s="16">
        <f t="shared" si="9"/>
        <v>-1366716.04</v>
      </c>
      <c r="Q30" s="16">
        <f t="shared" si="4"/>
        <v>81.21201712295796</v>
      </c>
      <c r="R30" s="16">
        <f t="shared" si="10"/>
        <v>-2008766</v>
      </c>
      <c r="S30" s="16">
        <f t="shared" si="11"/>
        <v>74.62547050666295</v>
      </c>
    </row>
    <row r="31" spans="1:19" s="22" customFormat="1" ht="14.25">
      <c r="A31" s="1">
        <v>1100</v>
      </c>
      <c r="B31" s="2" t="s">
        <v>46</v>
      </c>
      <c r="C31" s="11">
        <f>SUM(C32)</f>
        <v>14543509.33</v>
      </c>
      <c r="D31" s="11">
        <f>SUM(D32)</f>
        <v>12914309.15</v>
      </c>
      <c r="E31" s="11">
        <f>SUM(E32)</f>
        <v>22753974.19</v>
      </c>
      <c r="F31" s="11">
        <f t="shared" si="5"/>
        <v>8210464.860000001</v>
      </c>
      <c r="G31" s="11">
        <f t="shared" si="0"/>
        <v>156.45449577333892</v>
      </c>
      <c r="H31" s="11">
        <f t="shared" si="1"/>
        <v>9839665.040000001</v>
      </c>
      <c r="I31" s="11">
        <f t="shared" si="6"/>
        <v>176.1919582821819</v>
      </c>
      <c r="J31" s="12">
        <f>SUM(J32)</f>
        <v>11954267.93</v>
      </c>
      <c r="K31" s="11">
        <f t="shared" si="7"/>
        <v>-2589241.4000000004</v>
      </c>
      <c r="L31" s="11">
        <f t="shared" si="2"/>
        <v>82.19658446081527</v>
      </c>
      <c r="M31" s="11">
        <f t="shared" si="3"/>
        <v>-960041.2200000007</v>
      </c>
      <c r="N31" s="11">
        <f t="shared" si="8"/>
        <v>92.56606599045215</v>
      </c>
      <c r="O31" s="12">
        <f>SUM(O32)</f>
        <v>11954267.93</v>
      </c>
      <c r="P31" s="11">
        <f t="shared" si="9"/>
        <v>-2589241.4000000004</v>
      </c>
      <c r="Q31" s="11">
        <f t="shared" si="4"/>
        <v>82.19658446081527</v>
      </c>
      <c r="R31" s="11">
        <f t="shared" si="10"/>
        <v>-960041.2200000007</v>
      </c>
      <c r="S31" s="11">
        <f t="shared" si="11"/>
        <v>92.56606599045215</v>
      </c>
    </row>
    <row r="32" spans="1:19" ht="15">
      <c r="A32" s="37">
        <v>1101</v>
      </c>
      <c r="B32" s="3" t="s">
        <v>47</v>
      </c>
      <c r="C32" s="16">
        <v>14543509.33</v>
      </c>
      <c r="D32" s="16">
        <v>12914309.15</v>
      </c>
      <c r="E32" s="18">
        <v>22753974.19</v>
      </c>
      <c r="F32" s="16">
        <f t="shared" si="5"/>
        <v>8210464.860000001</v>
      </c>
      <c r="G32" s="16">
        <f t="shared" si="0"/>
        <v>156.45449577333892</v>
      </c>
      <c r="H32" s="16">
        <f t="shared" si="1"/>
        <v>9839665.040000001</v>
      </c>
      <c r="I32" s="16">
        <f t="shared" si="6"/>
        <v>176.1919582821819</v>
      </c>
      <c r="J32" s="18">
        <v>11954267.93</v>
      </c>
      <c r="K32" s="16">
        <f t="shared" si="7"/>
        <v>-2589241.4000000004</v>
      </c>
      <c r="L32" s="16">
        <f t="shared" si="2"/>
        <v>82.19658446081527</v>
      </c>
      <c r="M32" s="16">
        <f t="shared" si="3"/>
        <v>-960041.2200000007</v>
      </c>
      <c r="N32" s="16">
        <f t="shared" si="8"/>
        <v>92.56606599045215</v>
      </c>
      <c r="O32" s="18">
        <v>11954267.93</v>
      </c>
      <c r="P32" s="16">
        <f t="shared" si="9"/>
        <v>-2589241.4000000004</v>
      </c>
      <c r="Q32" s="16">
        <f t="shared" si="4"/>
        <v>82.19658446081527</v>
      </c>
      <c r="R32" s="16">
        <f t="shared" si="10"/>
        <v>-960041.2200000007</v>
      </c>
      <c r="S32" s="16">
        <f t="shared" si="11"/>
        <v>92.56606599045215</v>
      </c>
    </row>
    <row r="33" spans="1:19" s="22" customFormat="1" ht="14.25">
      <c r="A33" s="1"/>
      <c r="B33" s="2" t="s">
        <v>22</v>
      </c>
      <c r="C33" s="11">
        <f>C8+C14+C17+C20+C25+C27+C31</f>
        <v>286116312.95</v>
      </c>
      <c r="D33" s="11">
        <f>D8+D14+D17+D20+D25+D27+D31</f>
        <v>294098549.73999995</v>
      </c>
      <c r="E33" s="11">
        <f>E8+E14+E17+E20+E25+E27+E31</f>
        <v>250525742.29</v>
      </c>
      <c r="F33" s="11">
        <f t="shared" si="5"/>
        <v>-35590570.66</v>
      </c>
      <c r="G33" s="11">
        <f t="shared" si="0"/>
        <v>87.56080340437646</v>
      </c>
      <c r="H33" s="11">
        <f t="shared" si="1"/>
        <v>-43572807.44999996</v>
      </c>
      <c r="I33" s="11">
        <f t="shared" si="6"/>
        <v>85.18428346942859</v>
      </c>
      <c r="J33" s="11">
        <f>J8+J14+J17+J20+J25+J27+J31</f>
        <v>201181519.77</v>
      </c>
      <c r="K33" s="11">
        <f t="shared" si="7"/>
        <v>-84934793.17999998</v>
      </c>
      <c r="L33" s="11">
        <f t="shared" si="2"/>
        <v>70.31459258499439</v>
      </c>
      <c r="M33" s="11">
        <f t="shared" si="3"/>
        <v>-92917029.96999994</v>
      </c>
      <c r="N33" s="11">
        <f t="shared" si="8"/>
        <v>68.40615839413559</v>
      </c>
      <c r="O33" s="11">
        <f>O8+O14+O17+O20+O25+O27+O31</f>
        <v>187411469</v>
      </c>
      <c r="P33" s="11">
        <f t="shared" si="9"/>
        <v>-98704843.94999999</v>
      </c>
      <c r="Q33" s="11">
        <f t="shared" si="4"/>
        <v>65.50184680757819</v>
      </c>
      <c r="R33" s="11">
        <f t="shared" si="10"/>
        <v>-106687080.73999995</v>
      </c>
      <c r="S33" s="11">
        <f t="shared" si="11"/>
        <v>63.724037118062135</v>
      </c>
    </row>
  </sheetData>
  <sheetProtection/>
  <mergeCells count="17">
    <mergeCell ref="K5:N5"/>
    <mergeCell ref="K6:L6"/>
    <mergeCell ref="M6:N6"/>
    <mergeCell ref="O5:O7"/>
    <mergeCell ref="P5:S5"/>
    <mergeCell ref="P6:Q6"/>
    <mergeCell ref="R6:S6"/>
    <mergeCell ref="B2:M2"/>
    <mergeCell ref="A5:A7"/>
    <mergeCell ref="B5:B7"/>
    <mergeCell ref="C5:C7"/>
    <mergeCell ref="D5:D7"/>
    <mergeCell ref="E5:E7"/>
    <mergeCell ref="F5:I5"/>
    <mergeCell ref="F6:G6"/>
    <mergeCell ref="H6:I6"/>
    <mergeCell ref="J5:J7"/>
  </mergeCells>
  <printOptions/>
  <pageMargins left="0.25" right="0.16" top="0.34" bottom="0.3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2.57421875" style="20" customWidth="1"/>
    <col min="2" max="2" width="16.140625" style="20" customWidth="1"/>
    <col min="3" max="3" width="15.00390625" style="20" customWidth="1"/>
    <col min="4" max="4" width="15.140625" style="20" customWidth="1"/>
    <col min="5" max="5" width="13.7109375" style="20" customWidth="1"/>
    <col min="6" max="6" width="10.8515625" style="20" bestFit="1" customWidth="1"/>
    <col min="7" max="7" width="13.140625" style="20" customWidth="1"/>
    <col min="8" max="8" width="10.00390625" style="20" bestFit="1" customWidth="1"/>
    <col min="9" max="9" width="14.8515625" style="20" customWidth="1"/>
    <col min="10" max="10" width="12.140625" style="20" customWidth="1"/>
    <col min="11" max="11" width="9.140625" style="20" customWidth="1"/>
    <col min="12" max="12" width="12.8515625" style="20" customWidth="1"/>
    <col min="13" max="13" width="10.00390625" style="20" customWidth="1"/>
    <col min="14" max="14" width="15.57421875" style="20" customWidth="1"/>
    <col min="15" max="15" width="13.421875" style="20" customWidth="1"/>
    <col min="16" max="16" width="9.140625" style="20" customWidth="1"/>
    <col min="17" max="17" width="14.57421875" style="20" customWidth="1"/>
    <col min="18" max="18" width="10.00390625" style="20" bestFit="1" customWidth="1"/>
    <col min="19" max="16384" width="9.140625" style="20" customWidth="1"/>
  </cols>
  <sheetData>
    <row r="1" spans="1:12" ht="37.5" customHeight="1">
      <c r="A1" s="38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4" spans="1:18" ht="12" customHeight="1">
      <c r="A4" s="40" t="s">
        <v>50</v>
      </c>
      <c r="B4" s="40" t="s">
        <v>91</v>
      </c>
      <c r="C4" s="43" t="s">
        <v>92</v>
      </c>
      <c r="D4" s="40" t="s">
        <v>83</v>
      </c>
      <c r="E4" s="40" t="s">
        <v>2</v>
      </c>
      <c r="F4" s="40"/>
      <c r="G4" s="40"/>
      <c r="H4" s="40"/>
      <c r="I4" s="40" t="s">
        <v>86</v>
      </c>
      <c r="J4" s="40" t="s">
        <v>2</v>
      </c>
      <c r="K4" s="40"/>
      <c r="L4" s="40"/>
      <c r="M4" s="40"/>
      <c r="N4" s="40" t="s">
        <v>95</v>
      </c>
      <c r="O4" s="40" t="s">
        <v>2</v>
      </c>
      <c r="P4" s="40"/>
      <c r="Q4" s="40"/>
      <c r="R4" s="40"/>
    </row>
    <row r="5" spans="1:18" ht="27" customHeight="1">
      <c r="A5" s="40"/>
      <c r="B5" s="40"/>
      <c r="C5" s="43"/>
      <c r="D5" s="40"/>
      <c r="E5" s="42" t="s">
        <v>93</v>
      </c>
      <c r="F5" s="42"/>
      <c r="G5" s="42" t="s">
        <v>94</v>
      </c>
      <c r="H5" s="42"/>
      <c r="I5" s="40"/>
      <c r="J5" s="42" t="s">
        <v>93</v>
      </c>
      <c r="K5" s="42"/>
      <c r="L5" s="42" t="s">
        <v>94</v>
      </c>
      <c r="M5" s="42"/>
      <c r="N5" s="40"/>
      <c r="O5" s="42" t="s">
        <v>93</v>
      </c>
      <c r="P5" s="42"/>
      <c r="Q5" s="42" t="s">
        <v>94</v>
      </c>
      <c r="R5" s="42"/>
    </row>
    <row r="6" spans="1:18" ht="17.25" customHeight="1">
      <c r="A6" s="40"/>
      <c r="B6" s="40"/>
      <c r="C6" s="44"/>
      <c r="D6" s="40"/>
      <c r="E6" s="9" t="s">
        <v>3</v>
      </c>
      <c r="F6" s="9" t="s">
        <v>4</v>
      </c>
      <c r="G6" s="9" t="s">
        <v>3</v>
      </c>
      <c r="H6" s="9" t="s">
        <v>4</v>
      </c>
      <c r="I6" s="40"/>
      <c r="J6" s="9" t="s">
        <v>3</v>
      </c>
      <c r="K6" s="9" t="s">
        <v>4</v>
      </c>
      <c r="L6" s="9" t="s">
        <v>3</v>
      </c>
      <c r="M6" s="9" t="s">
        <v>4</v>
      </c>
      <c r="N6" s="40"/>
      <c r="O6" s="9" t="s">
        <v>3</v>
      </c>
      <c r="P6" s="9" t="s">
        <v>4</v>
      </c>
      <c r="Q6" s="9" t="s">
        <v>3</v>
      </c>
      <c r="R6" s="9" t="s">
        <v>4</v>
      </c>
    </row>
    <row r="7" spans="1:18" s="22" customFormat="1" ht="36">
      <c r="A7" s="23" t="s">
        <v>51</v>
      </c>
      <c r="B7" s="11">
        <f>SUM(B8:B9)</f>
        <v>42823136.63</v>
      </c>
      <c r="C7" s="11">
        <f>SUM(C8:C9)</f>
        <v>37860035.57</v>
      </c>
      <c r="D7" s="11">
        <f>SUM(D8:D9)</f>
        <v>36989243.91</v>
      </c>
      <c r="E7" s="11">
        <f>D7-B7</f>
        <v>-5833892.720000006</v>
      </c>
      <c r="F7" s="11">
        <f>D7/B7%</f>
        <v>86.37677391451741</v>
      </c>
      <c r="G7" s="11">
        <f aca="true" t="shared" si="0" ref="G7:G44">D7-C7</f>
        <v>-870791.6600000039</v>
      </c>
      <c r="H7" s="11">
        <f>D7/C7%</f>
        <v>97.69997136323344</v>
      </c>
      <c r="I7" s="27">
        <f>SUM(I8:I9)</f>
        <v>34368241.91</v>
      </c>
      <c r="J7" s="11">
        <f>I7-B7</f>
        <v>-8454894.720000006</v>
      </c>
      <c r="K7" s="11">
        <f>I7/B7%</f>
        <v>80.25624607311721</v>
      </c>
      <c r="L7" s="11">
        <f aca="true" t="shared" si="1" ref="L7:L44">I7-C7</f>
        <v>-3491793.660000004</v>
      </c>
      <c r="M7" s="11">
        <f>I7/C7%</f>
        <v>90.7770988393712</v>
      </c>
      <c r="N7" s="27">
        <f>SUM(N8:N9)</f>
        <v>34368241.91</v>
      </c>
      <c r="O7" s="11">
        <f>N7-B7</f>
        <v>-8454894.720000006</v>
      </c>
      <c r="P7" s="11">
        <f>N7/B7%</f>
        <v>80.25624607311721</v>
      </c>
      <c r="Q7" s="11">
        <f>N7-C7</f>
        <v>-3491793.660000004</v>
      </c>
      <c r="R7" s="11">
        <f>N7/C7%</f>
        <v>90.7770988393712</v>
      </c>
    </row>
    <row r="8" spans="1:18" ht="36">
      <c r="A8" s="24" t="s">
        <v>52</v>
      </c>
      <c r="B8" s="16">
        <v>42063336.63</v>
      </c>
      <c r="C8" s="14">
        <f>37860035.57-640803</f>
        <v>37219232.57</v>
      </c>
      <c r="D8" s="15">
        <v>36203142.91</v>
      </c>
      <c r="E8" s="16">
        <f aca="true" t="shared" si="2" ref="E8:E44">D8-B8</f>
        <v>-5860193.720000006</v>
      </c>
      <c r="F8" s="16">
        <f aca="true" t="shared" si="3" ref="F8:F41">D8/B8%</f>
        <v>86.06816722233</v>
      </c>
      <c r="G8" s="16">
        <f t="shared" si="0"/>
        <v>-1016089.6600000039</v>
      </c>
      <c r="H8" s="16">
        <f aca="true" t="shared" si="4" ref="H8:H44">D8/C8%</f>
        <v>97.26998761167631</v>
      </c>
      <c r="I8" s="15">
        <v>33582140.91</v>
      </c>
      <c r="J8" s="16">
        <f aca="true" t="shared" si="5" ref="J8:J44">I8-B8</f>
        <v>-8481195.720000006</v>
      </c>
      <c r="K8" s="16">
        <f aca="true" t="shared" si="6" ref="K8:K41">I8/B8%</f>
        <v>79.83708283866589</v>
      </c>
      <c r="L8" s="16">
        <f t="shared" si="1"/>
        <v>-3637091.660000004</v>
      </c>
      <c r="M8" s="16">
        <f aca="true" t="shared" si="7" ref="M8:M44">I8/C8%</f>
        <v>90.22792408962343</v>
      </c>
      <c r="N8" s="17">
        <v>33582140.91</v>
      </c>
      <c r="O8" s="16">
        <f aca="true" t="shared" si="8" ref="O8:O44">N8-B8</f>
        <v>-8481195.720000006</v>
      </c>
      <c r="P8" s="16">
        <f aca="true" t="shared" si="9" ref="P8:P41">N8/B8%</f>
        <v>79.83708283866589</v>
      </c>
      <c r="Q8" s="16">
        <f aca="true" t="shared" si="10" ref="Q8:Q44">N8-C8</f>
        <v>-3637091.660000004</v>
      </c>
      <c r="R8" s="16">
        <f aca="true" t="shared" si="11" ref="R8:R44">N8/C8%</f>
        <v>90.22792408962343</v>
      </c>
    </row>
    <row r="9" spans="1:18" ht="24">
      <c r="A9" s="24" t="s">
        <v>53</v>
      </c>
      <c r="B9" s="16">
        <v>759800</v>
      </c>
      <c r="C9" s="16">
        <v>640803</v>
      </c>
      <c r="D9" s="28">
        <v>786101</v>
      </c>
      <c r="E9" s="16">
        <f t="shared" si="2"/>
        <v>26301</v>
      </c>
      <c r="F9" s="16">
        <f t="shared" si="3"/>
        <v>103.46156883390366</v>
      </c>
      <c r="G9" s="16">
        <f t="shared" si="0"/>
        <v>145298</v>
      </c>
      <c r="H9" s="16">
        <f t="shared" si="4"/>
        <v>122.67436325984741</v>
      </c>
      <c r="I9" s="28">
        <v>786101</v>
      </c>
      <c r="J9" s="16">
        <f t="shared" si="5"/>
        <v>26301</v>
      </c>
      <c r="K9" s="16">
        <f t="shared" si="6"/>
        <v>103.46156883390366</v>
      </c>
      <c r="L9" s="16">
        <f t="shared" si="1"/>
        <v>145298</v>
      </c>
      <c r="M9" s="16">
        <f t="shared" si="7"/>
        <v>122.67436325984741</v>
      </c>
      <c r="N9" s="28">
        <v>786101</v>
      </c>
      <c r="O9" s="16">
        <f t="shared" si="8"/>
        <v>26301</v>
      </c>
      <c r="P9" s="16">
        <f t="shared" si="9"/>
        <v>103.46156883390366</v>
      </c>
      <c r="Q9" s="16">
        <f t="shared" si="10"/>
        <v>145298</v>
      </c>
      <c r="R9" s="16">
        <f t="shared" si="11"/>
        <v>122.67436325984741</v>
      </c>
    </row>
    <row r="10" spans="1:18" s="22" customFormat="1" ht="24">
      <c r="A10" s="23" t="s">
        <v>54</v>
      </c>
      <c r="B10" s="27">
        <f>SUM(B11:B13)</f>
        <v>40604947.91</v>
      </c>
      <c r="C10" s="27">
        <f>SUM(C11:C13)</f>
        <v>25484496.310000002</v>
      </c>
      <c r="D10" s="27">
        <f>SUM(D11:D13)</f>
        <v>36859368.6</v>
      </c>
      <c r="E10" s="11">
        <f t="shared" si="2"/>
        <v>-3745579.309999995</v>
      </c>
      <c r="F10" s="11">
        <f t="shared" si="3"/>
        <v>90.77555937689665</v>
      </c>
      <c r="G10" s="11">
        <f t="shared" si="0"/>
        <v>11374872.29</v>
      </c>
      <c r="H10" s="11">
        <f t="shared" si="4"/>
        <v>144.63447953466732</v>
      </c>
      <c r="I10" s="27">
        <f>SUM(I11:I13)</f>
        <v>38277674.6</v>
      </c>
      <c r="J10" s="11">
        <f t="shared" si="5"/>
        <v>-2327273.309999995</v>
      </c>
      <c r="K10" s="11">
        <f t="shared" si="6"/>
        <v>94.26849822549127</v>
      </c>
      <c r="L10" s="11">
        <f t="shared" si="1"/>
        <v>12793178.29</v>
      </c>
      <c r="M10" s="11">
        <f t="shared" si="7"/>
        <v>150.1998475244732</v>
      </c>
      <c r="N10" s="30">
        <f>SUM(N11:N13)</f>
        <v>39747450.8</v>
      </c>
      <c r="O10" s="11">
        <f t="shared" si="8"/>
        <v>-857497.1099999994</v>
      </c>
      <c r="P10" s="11">
        <f t="shared" si="9"/>
        <v>97.88819551769744</v>
      </c>
      <c r="Q10" s="11">
        <f t="shared" si="10"/>
        <v>14262954.489999995</v>
      </c>
      <c r="R10" s="11">
        <f t="shared" si="11"/>
        <v>155.96718222915504</v>
      </c>
    </row>
    <row r="11" spans="1:18" ht="24">
      <c r="A11" s="24" t="s">
        <v>55</v>
      </c>
      <c r="B11" s="16">
        <v>999987.12</v>
      </c>
      <c r="C11" s="16">
        <v>886556.8</v>
      </c>
      <c r="D11" s="28">
        <v>1377818</v>
      </c>
      <c r="E11" s="16">
        <f t="shared" si="2"/>
        <v>377830.88</v>
      </c>
      <c r="F11" s="16">
        <f t="shared" si="3"/>
        <v>137.78357465244153</v>
      </c>
      <c r="G11" s="16">
        <f t="shared" si="0"/>
        <v>491261.19999999995</v>
      </c>
      <c r="H11" s="16">
        <f t="shared" si="4"/>
        <v>155.41226461745032</v>
      </c>
      <c r="I11" s="28">
        <v>1377818</v>
      </c>
      <c r="J11" s="16">
        <f t="shared" si="5"/>
        <v>377830.88</v>
      </c>
      <c r="K11" s="16">
        <f t="shared" si="6"/>
        <v>137.78357465244153</v>
      </c>
      <c r="L11" s="16">
        <f t="shared" si="1"/>
        <v>491261.19999999995</v>
      </c>
      <c r="M11" s="16">
        <f t="shared" si="7"/>
        <v>155.41226461745032</v>
      </c>
      <c r="N11" s="28">
        <v>1377818</v>
      </c>
      <c r="O11" s="16">
        <f t="shared" si="8"/>
        <v>377830.88</v>
      </c>
      <c r="P11" s="16">
        <f t="shared" si="9"/>
        <v>137.78357465244153</v>
      </c>
      <c r="Q11" s="16">
        <f t="shared" si="10"/>
        <v>491261.19999999995</v>
      </c>
      <c r="R11" s="16">
        <f t="shared" si="11"/>
        <v>155.41226461745032</v>
      </c>
    </row>
    <row r="12" spans="1:18" ht="24">
      <c r="A12" s="24" t="s">
        <v>56</v>
      </c>
      <c r="B12" s="16">
        <v>39604960.79</v>
      </c>
      <c r="C12" s="16">
        <v>24579151.55</v>
      </c>
      <c r="D12" s="16">
        <v>35455000</v>
      </c>
      <c r="E12" s="16">
        <f t="shared" si="2"/>
        <v>-4149960.789999999</v>
      </c>
      <c r="F12" s="16">
        <f t="shared" si="3"/>
        <v>89.5216136887381</v>
      </c>
      <c r="G12" s="16">
        <f t="shared" si="0"/>
        <v>10875848.45</v>
      </c>
      <c r="H12" s="16">
        <f t="shared" si="4"/>
        <v>144.24826637272594</v>
      </c>
      <c r="I12" s="28">
        <v>36874000</v>
      </c>
      <c r="J12" s="16">
        <f t="shared" si="5"/>
        <v>-2730960.789999999</v>
      </c>
      <c r="K12" s="16">
        <f t="shared" si="6"/>
        <v>93.10449818526382</v>
      </c>
      <c r="L12" s="16">
        <f t="shared" si="1"/>
        <v>12294848.45</v>
      </c>
      <c r="M12" s="16">
        <f t="shared" si="7"/>
        <v>150.021451818584</v>
      </c>
      <c r="N12" s="28">
        <v>38349000</v>
      </c>
      <c r="O12" s="16">
        <f t="shared" si="8"/>
        <v>-1255960.789999999</v>
      </c>
      <c r="P12" s="16">
        <f t="shared" si="9"/>
        <v>96.8287791101232</v>
      </c>
      <c r="Q12" s="16">
        <f t="shared" si="10"/>
        <v>13769848.45</v>
      </c>
      <c r="R12" s="16">
        <f t="shared" si="11"/>
        <v>156.02247263087483</v>
      </c>
    </row>
    <row r="13" spans="1:18" ht="60">
      <c r="A13" s="24" t="s">
        <v>57</v>
      </c>
      <c r="B13" s="16">
        <v>0</v>
      </c>
      <c r="C13" s="16">
        <v>18787.96</v>
      </c>
      <c r="D13" s="28">
        <v>26550.6</v>
      </c>
      <c r="E13" s="16">
        <f t="shared" si="2"/>
        <v>26550.6</v>
      </c>
      <c r="F13" s="16"/>
      <c r="G13" s="16">
        <f t="shared" si="0"/>
        <v>7762.639999999999</v>
      </c>
      <c r="H13" s="16">
        <f t="shared" si="4"/>
        <v>141.31709882286316</v>
      </c>
      <c r="I13" s="28">
        <v>25856.6</v>
      </c>
      <c r="J13" s="16">
        <f t="shared" si="5"/>
        <v>25856.6</v>
      </c>
      <c r="K13" s="16"/>
      <c r="L13" s="16">
        <f t="shared" si="1"/>
        <v>7068.639999999999</v>
      </c>
      <c r="M13" s="16">
        <f t="shared" si="7"/>
        <v>137.62324382210736</v>
      </c>
      <c r="N13" s="29">
        <v>20632.8</v>
      </c>
      <c r="O13" s="16">
        <f t="shared" si="8"/>
        <v>20632.8</v>
      </c>
      <c r="P13" s="16"/>
      <c r="Q13" s="16">
        <f t="shared" si="10"/>
        <v>1844.8400000000001</v>
      </c>
      <c r="R13" s="16">
        <f t="shared" si="11"/>
        <v>109.81926723284487</v>
      </c>
    </row>
    <row r="14" spans="1:18" s="22" customFormat="1" ht="48">
      <c r="A14" s="23" t="s">
        <v>84</v>
      </c>
      <c r="B14" s="11">
        <f>SUM(B15:B15)</f>
        <v>20042950.22</v>
      </c>
      <c r="C14" s="11">
        <f>SUM(C15:C15)</f>
        <v>29508150.64</v>
      </c>
      <c r="D14" s="11">
        <f>SUM(D15:D15)</f>
        <v>29809289.94</v>
      </c>
      <c r="E14" s="11">
        <f t="shared" si="2"/>
        <v>9766339.720000003</v>
      </c>
      <c r="F14" s="11">
        <f t="shared" si="3"/>
        <v>148.72705670971828</v>
      </c>
      <c r="G14" s="11">
        <f t="shared" si="0"/>
        <v>301139.30000000075</v>
      </c>
      <c r="H14" s="11">
        <f t="shared" si="4"/>
        <v>101.02052922148157</v>
      </c>
      <c r="I14" s="31">
        <f>SUM(I15)</f>
        <v>34913023.99</v>
      </c>
      <c r="J14" s="11">
        <f t="shared" si="5"/>
        <v>14870073.770000003</v>
      </c>
      <c r="K14" s="11">
        <f t="shared" si="6"/>
        <v>174.19104276955093</v>
      </c>
      <c r="L14" s="11">
        <f t="shared" si="1"/>
        <v>5404873.3500000015</v>
      </c>
      <c r="M14" s="11">
        <f t="shared" si="7"/>
        <v>118.3165438455956</v>
      </c>
      <c r="N14" s="11">
        <f>SUM(N15)</f>
        <v>31426933.27</v>
      </c>
      <c r="O14" s="11">
        <f t="shared" si="8"/>
        <v>11383983.05</v>
      </c>
      <c r="P14" s="11">
        <f t="shared" si="9"/>
        <v>156.7979410468246</v>
      </c>
      <c r="Q14" s="11">
        <f t="shared" si="10"/>
        <v>1918782.629999999</v>
      </c>
      <c r="R14" s="11">
        <f t="shared" si="11"/>
        <v>106.5025512896731</v>
      </c>
    </row>
    <row r="15" spans="1:18" ht="48">
      <c r="A15" s="36" t="s">
        <v>85</v>
      </c>
      <c r="B15" s="16">
        <v>20042950.22</v>
      </c>
      <c r="C15" s="16">
        <f>4685401.78+4618536.34+1398284.22+18805928.3</f>
        <v>29508150.64</v>
      </c>
      <c r="D15" s="16">
        <v>29809289.94</v>
      </c>
      <c r="E15" s="16">
        <f t="shared" si="2"/>
        <v>9766339.720000003</v>
      </c>
      <c r="F15" s="16">
        <f t="shared" si="3"/>
        <v>148.72705670971828</v>
      </c>
      <c r="G15" s="16">
        <f t="shared" si="0"/>
        <v>301139.30000000075</v>
      </c>
      <c r="H15" s="16">
        <f t="shared" si="4"/>
        <v>101.02052922148157</v>
      </c>
      <c r="I15" s="28">
        <v>34913023.99</v>
      </c>
      <c r="J15" s="16">
        <f t="shared" si="5"/>
        <v>14870073.770000003</v>
      </c>
      <c r="K15" s="16">
        <f t="shared" si="6"/>
        <v>174.19104276955093</v>
      </c>
      <c r="L15" s="16">
        <f t="shared" si="1"/>
        <v>5404873.3500000015</v>
      </c>
      <c r="M15" s="16">
        <f t="shared" si="7"/>
        <v>118.3165438455956</v>
      </c>
      <c r="N15" s="28">
        <v>31426933.27</v>
      </c>
      <c r="O15" s="16">
        <f t="shared" si="8"/>
        <v>11383983.05</v>
      </c>
      <c r="P15" s="16">
        <f t="shared" si="9"/>
        <v>156.7979410468246</v>
      </c>
      <c r="Q15" s="16">
        <f t="shared" si="10"/>
        <v>1918782.629999999</v>
      </c>
      <c r="R15" s="16">
        <f t="shared" si="11"/>
        <v>106.5025512896731</v>
      </c>
    </row>
    <row r="16" spans="1:18" s="22" customFormat="1" ht="24">
      <c r="A16" s="23" t="s">
        <v>58</v>
      </c>
      <c r="B16" s="11">
        <f>SUM(B17:B17)</f>
        <v>559677.58</v>
      </c>
      <c r="C16" s="11">
        <f>SUM(C17:C17)</f>
        <v>180260</v>
      </c>
      <c r="D16" s="11">
        <f>SUM(D17:D17)</f>
        <v>236068</v>
      </c>
      <c r="E16" s="11">
        <f t="shared" si="2"/>
        <v>-323609.57999999996</v>
      </c>
      <c r="F16" s="11">
        <f t="shared" si="3"/>
        <v>42.17928472317937</v>
      </c>
      <c r="G16" s="11">
        <f t="shared" si="0"/>
        <v>55808</v>
      </c>
      <c r="H16" s="11">
        <f t="shared" si="4"/>
        <v>130.95972484189505</v>
      </c>
      <c r="I16" s="31">
        <f>SUM(I17)</f>
        <v>236068</v>
      </c>
      <c r="J16" s="11">
        <f t="shared" si="5"/>
        <v>-323609.57999999996</v>
      </c>
      <c r="K16" s="11">
        <f t="shared" si="6"/>
        <v>42.17928472317937</v>
      </c>
      <c r="L16" s="11">
        <f t="shared" si="1"/>
        <v>55808</v>
      </c>
      <c r="M16" s="11">
        <f t="shared" si="7"/>
        <v>130.95972484189505</v>
      </c>
      <c r="N16" s="11">
        <f>SUM(N17)</f>
        <v>236068</v>
      </c>
      <c r="O16" s="11">
        <f t="shared" si="8"/>
        <v>-323609.57999999996</v>
      </c>
      <c r="P16" s="11">
        <f t="shared" si="9"/>
        <v>42.17928472317937</v>
      </c>
      <c r="Q16" s="11">
        <f t="shared" si="10"/>
        <v>55808</v>
      </c>
      <c r="R16" s="11">
        <f t="shared" si="11"/>
        <v>130.95972484189505</v>
      </c>
    </row>
    <row r="17" spans="1:18" ht="84">
      <c r="A17" s="36" t="s">
        <v>81</v>
      </c>
      <c r="B17" s="16">
        <v>559677.58</v>
      </c>
      <c r="C17" s="16">
        <v>180260</v>
      </c>
      <c r="D17" s="16">
        <v>236068</v>
      </c>
      <c r="E17" s="16">
        <f t="shared" si="2"/>
        <v>-323609.57999999996</v>
      </c>
      <c r="F17" s="16">
        <f t="shared" si="3"/>
        <v>42.17928472317937</v>
      </c>
      <c r="G17" s="16">
        <f t="shared" si="0"/>
        <v>55808</v>
      </c>
      <c r="H17" s="16">
        <f t="shared" si="4"/>
        <v>130.95972484189505</v>
      </c>
      <c r="I17" s="28">
        <v>236068</v>
      </c>
      <c r="J17" s="16">
        <f t="shared" si="5"/>
        <v>-323609.57999999996</v>
      </c>
      <c r="K17" s="16">
        <f t="shared" si="6"/>
        <v>42.17928472317937</v>
      </c>
      <c r="L17" s="16">
        <f t="shared" si="1"/>
        <v>55808</v>
      </c>
      <c r="M17" s="16">
        <f t="shared" si="7"/>
        <v>130.95972484189505</v>
      </c>
      <c r="N17" s="28">
        <v>236068</v>
      </c>
      <c r="O17" s="16">
        <f t="shared" si="8"/>
        <v>-323609.57999999996</v>
      </c>
      <c r="P17" s="16">
        <f t="shared" si="9"/>
        <v>42.17928472317937</v>
      </c>
      <c r="Q17" s="16">
        <f t="shared" si="10"/>
        <v>55808</v>
      </c>
      <c r="R17" s="16">
        <f t="shared" si="11"/>
        <v>130.95972484189505</v>
      </c>
    </row>
    <row r="18" spans="1:18" s="22" customFormat="1" ht="60">
      <c r="A18" s="25" t="s">
        <v>82</v>
      </c>
      <c r="B18" s="11">
        <f>SUM(B19:B19)</f>
        <v>55750</v>
      </c>
      <c r="C18" s="11">
        <f>SUM(C19:C20)</f>
        <v>2380000</v>
      </c>
      <c r="D18" s="11">
        <f>SUM(D19:D20)</f>
        <v>8837333.33</v>
      </c>
      <c r="E18" s="11">
        <f t="shared" si="2"/>
        <v>8781583.33</v>
      </c>
      <c r="F18" s="11" t="s">
        <v>110</v>
      </c>
      <c r="G18" s="11">
        <f t="shared" si="0"/>
        <v>6457333.33</v>
      </c>
      <c r="H18" s="11" t="s">
        <v>108</v>
      </c>
      <c r="I18" s="32">
        <f>SUM(I19:I19)</f>
        <v>1500000</v>
      </c>
      <c r="J18" s="11">
        <f t="shared" si="5"/>
        <v>1444250</v>
      </c>
      <c r="K18" s="11" t="s">
        <v>109</v>
      </c>
      <c r="L18" s="11">
        <f t="shared" si="1"/>
        <v>-880000</v>
      </c>
      <c r="M18" s="11">
        <f t="shared" si="7"/>
        <v>63.02521008403362</v>
      </c>
      <c r="N18" s="33">
        <f>SUM(N19:N19)</f>
        <v>1500000</v>
      </c>
      <c r="O18" s="11">
        <f t="shared" si="8"/>
        <v>1444250</v>
      </c>
      <c r="P18" s="11" t="s">
        <v>109</v>
      </c>
      <c r="Q18" s="11">
        <f t="shared" si="10"/>
        <v>-880000</v>
      </c>
      <c r="R18" s="11">
        <f t="shared" si="11"/>
        <v>63.02521008403362</v>
      </c>
    </row>
    <row r="19" spans="1:18" ht="24">
      <c r="A19" s="26" t="s">
        <v>59</v>
      </c>
      <c r="B19" s="16">
        <v>55750</v>
      </c>
      <c r="C19" s="16">
        <f>150000</f>
        <v>150000</v>
      </c>
      <c r="D19" s="16">
        <v>474000</v>
      </c>
      <c r="E19" s="16">
        <f t="shared" si="2"/>
        <v>418250</v>
      </c>
      <c r="F19" s="16" t="s">
        <v>103</v>
      </c>
      <c r="G19" s="16">
        <f t="shared" si="0"/>
        <v>324000</v>
      </c>
      <c r="H19" s="16" t="s">
        <v>107</v>
      </c>
      <c r="I19" s="28">
        <v>1500000</v>
      </c>
      <c r="J19" s="16">
        <f t="shared" si="5"/>
        <v>1444250</v>
      </c>
      <c r="K19" s="16" t="s">
        <v>109</v>
      </c>
      <c r="L19" s="16">
        <f t="shared" si="1"/>
        <v>1350000</v>
      </c>
      <c r="M19" s="16" t="s">
        <v>111</v>
      </c>
      <c r="N19" s="28">
        <v>1500000</v>
      </c>
      <c r="O19" s="16">
        <f t="shared" si="8"/>
        <v>1444250</v>
      </c>
      <c r="P19" s="16" t="s">
        <v>109</v>
      </c>
      <c r="Q19" s="16">
        <f t="shared" si="10"/>
        <v>1350000</v>
      </c>
      <c r="R19" s="16" t="s">
        <v>111</v>
      </c>
    </row>
    <row r="20" spans="1:18" ht="24">
      <c r="A20" s="26" t="s">
        <v>102</v>
      </c>
      <c r="B20" s="16">
        <v>0</v>
      </c>
      <c r="C20" s="16">
        <v>2230000</v>
      </c>
      <c r="D20" s="16">
        <v>8363333.33</v>
      </c>
      <c r="E20" s="16">
        <f t="shared" si="2"/>
        <v>8363333.33</v>
      </c>
      <c r="F20" s="16"/>
      <c r="G20" s="16">
        <f t="shared" si="0"/>
        <v>6133333.33</v>
      </c>
      <c r="H20" s="16" t="s">
        <v>106</v>
      </c>
      <c r="I20" s="28"/>
      <c r="J20" s="16">
        <f t="shared" si="5"/>
        <v>0</v>
      </c>
      <c r="K20" s="16"/>
      <c r="L20" s="16">
        <f t="shared" si="1"/>
        <v>-2230000</v>
      </c>
      <c r="M20" s="16">
        <f t="shared" si="7"/>
        <v>0</v>
      </c>
      <c r="N20" s="28"/>
      <c r="O20" s="16">
        <f t="shared" si="8"/>
        <v>0</v>
      </c>
      <c r="P20" s="16"/>
      <c r="Q20" s="16">
        <f t="shared" si="10"/>
        <v>-2230000</v>
      </c>
      <c r="R20" s="16">
        <f t="shared" si="11"/>
        <v>0</v>
      </c>
    </row>
    <row r="21" spans="1:18" s="22" customFormat="1" ht="36">
      <c r="A21" s="25" t="s">
        <v>60</v>
      </c>
      <c r="B21" s="27">
        <f>SUM(B22:B23)</f>
        <v>84700454.4</v>
      </c>
      <c r="C21" s="27">
        <f>SUM(C22:C23)</f>
        <v>68326836.4</v>
      </c>
      <c r="D21" s="27">
        <f>SUM(D22:D23)</f>
        <v>45442759.43</v>
      </c>
      <c r="E21" s="11">
        <f t="shared" si="2"/>
        <v>-39257694.970000006</v>
      </c>
      <c r="F21" s="11">
        <f t="shared" si="3"/>
        <v>53.651140069916785</v>
      </c>
      <c r="G21" s="11">
        <f t="shared" si="0"/>
        <v>-22884076.970000006</v>
      </c>
      <c r="H21" s="11">
        <f t="shared" si="4"/>
        <v>66.50792254447185</v>
      </c>
      <c r="I21" s="27">
        <f>SUM(I22:I23)</f>
        <v>44434690.5</v>
      </c>
      <c r="J21" s="11">
        <f t="shared" si="5"/>
        <v>-40265763.900000006</v>
      </c>
      <c r="K21" s="11">
        <f t="shared" si="6"/>
        <v>52.46098242892071</v>
      </c>
      <c r="L21" s="11">
        <f t="shared" si="1"/>
        <v>-23892145.900000006</v>
      </c>
      <c r="M21" s="11">
        <f t="shared" si="7"/>
        <v>65.03255944687642</v>
      </c>
      <c r="N21" s="27">
        <f>SUM(N22:N23)</f>
        <v>36550000</v>
      </c>
      <c r="O21" s="11">
        <f t="shared" si="8"/>
        <v>-48150454.400000006</v>
      </c>
      <c r="P21" s="11">
        <f t="shared" si="9"/>
        <v>43.15207074024858</v>
      </c>
      <c r="Q21" s="11">
        <f t="shared" si="10"/>
        <v>-31776836.400000006</v>
      </c>
      <c r="R21" s="11">
        <f t="shared" si="11"/>
        <v>53.49289082554391</v>
      </c>
    </row>
    <row r="22" spans="1:18" ht="24">
      <c r="A22" s="24" t="s">
        <v>61</v>
      </c>
      <c r="B22" s="16">
        <v>48475995.67</v>
      </c>
      <c r="C22" s="28">
        <f>24647310.22+1771000+7537387.18</f>
        <v>33955697.4</v>
      </c>
      <c r="D22" s="14">
        <v>7242759.43</v>
      </c>
      <c r="E22" s="16">
        <f t="shared" si="2"/>
        <v>-41233236.24</v>
      </c>
      <c r="F22" s="16">
        <f t="shared" si="3"/>
        <v>14.940919376478687</v>
      </c>
      <c r="G22" s="16">
        <f t="shared" si="0"/>
        <v>-26712937.97</v>
      </c>
      <c r="H22" s="16">
        <f t="shared" si="4"/>
        <v>21.330027019265405</v>
      </c>
      <c r="I22" s="28">
        <v>9684690.5</v>
      </c>
      <c r="J22" s="16">
        <f t="shared" si="5"/>
        <v>-38791305.17</v>
      </c>
      <c r="K22" s="16">
        <f t="shared" si="6"/>
        <v>19.978321984201134</v>
      </c>
      <c r="L22" s="16">
        <f t="shared" si="1"/>
        <v>-24271006.9</v>
      </c>
      <c r="M22" s="16">
        <f t="shared" si="7"/>
        <v>28.52154790376946</v>
      </c>
      <c r="N22" s="29">
        <v>2000000</v>
      </c>
      <c r="O22" s="16">
        <f t="shared" si="8"/>
        <v>-46475995.67</v>
      </c>
      <c r="P22" s="16">
        <f t="shared" si="9"/>
        <v>4.125753318436171</v>
      </c>
      <c r="Q22" s="16">
        <f t="shared" si="10"/>
        <v>-31955697.4</v>
      </c>
      <c r="R22" s="16">
        <f t="shared" si="11"/>
        <v>5.890027751278052</v>
      </c>
    </row>
    <row r="23" spans="1:18" ht="36">
      <c r="A23" s="24" t="s">
        <v>62</v>
      </c>
      <c r="B23" s="16">
        <v>36224458.73</v>
      </c>
      <c r="C23" s="28">
        <v>34371139</v>
      </c>
      <c r="D23" s="14">
        <v>38200000</v>
      </c>
      <c r="E23" s="16">
        <f t="shared" si="2"/>
        <v>1975541.2700000033</v>
      </c>
      <c r="F23" s="16">
        <f t="shared" si="3"/>
        <v>105.45361156318374</v>
      </c>
      <c r="G23" s="16">
        <f t="shared" si="0"/>
        <v>3828861</v>
      </c>
      <c r="H23" s="16">
        <f t="shared" si="4"/>
        <v>111.13975594466042</v>
      </c>
      <c r="I23" s="28">
        <v>34750000</v>
      </c>
      <c r="J23" s="16">
        <f t="shared" si="5"/>
        <v>-1474458.7299999967</v>
      </c>
      <c r="K23" s="16">
        <f t="shared" si="6"/>
        <v>95.92965973352449</v>
      </c>
      <c r="L23" s="16">
        <f t="shared" si="1"/>
        <v>378861</v>
      </c>
      <c r="M23" s="16">
        <f t="shared" si="7"/>
        <v>101.10226489730235</v>
      </c>
      <c r="N23" s="29">
        <v>34550000</v>
      </c>
      <c r="O23" s="16">
        <f t="shared" si="8"/>
        <v>-1674458.7299999967</v>
      </c>
      <c r="P23" s="16">
        <f t="shared" si="9"/>
        <v>95.37754658397901</v>
      </c>
      <c r="Q23" s="16">
        <f t="shared" si="10"/>
        <v>178861</v>
      </c>
      <c r="R23" s="16">
        <f t="shared" si="11"/>
        <v>100.52038135832507</v>
      </c>
    </row>
    <row r="24" spans="1:18" s="22" customFormat="1" ht="48">
      <c r="A24" s="23" t="s">
        <v>63</v>
      </c>
      <c r="B24" s="11">
        <f>SUM(B25)</f>
        <v>11298402</v>
      </c>
      <c r="C24" s="11">
        <f>SUM(C25)</f>
        <v>0</v>
      </c>
      <c r="D24" s="11">
        <f>SUM(D25)</f>
        <v>1900000</v>
      </c>
      <c r="E24" s="11">
        <f t="shared" si="2"/>
        <v>-9398402</v>
      </c>
      <c r="F24" s="11">
        <f t="shared" si="3"/>
        <v>16.816537418300392</v>
      </c>
      <c r="G24" s="11">
        <f t="shared" si="0"/>
        <v>1900000</v>
      </c>
      <c r="H24" s="11"/>
      <c r="I24" s="27">
        <f>SUM(I25)</f>
        <v>200000</v>
      </c>
      <c r="J24" s="11">
        <f t="shared" si="5"/>
        <v>-11098402</v>
      </c>
      <c r="K24" s="11">
        <f t="shared" si="6"/>
        <v>1.7701618335053044</v>
      </c>
      <c r="L24" s="11">
        <f t="shared" si="1"/>
        <v>200000</v>
      </c>
      <c r="M24" s="11"/>
      <c r="N24" s="27">
        <f>SUM(N25)</f>
        <v>200000</v>
      </c>
      <c r="O24" s="11">
        <f t="shared" si="8"/>
        <v>-11098402</v>
      </c>
      <c r="P24" s="11">
        <f t="shared" si="9"/>
        <v>1.7701618335053044</v>
      </c>
      <c r="Q24" s="11">
        <f t="shared" si="10"/>
        <v>200000</v>
      </c>
      <c r="R24" s="11"/>
    </row>
    <row r="25" spans="1:18" ht="36">
      <c r="A25" s="24" t="s">
        <v>64</v>
      </c>
      <c r="B25" s="16">
        <v>11298402</v>
      </c>
      <c r="C25" s="16">
        <v>0</v>
      </c>
      <c r="D25" s="28">
        <v>1900000</v>
      </c>
      <c r="E25" s="16">
        <f t="shared" si="2"/>
        <v>-9398402</v>
      </c>
      <c r="F25" s="16">
        <f t="shared" si="3"/>
        <v>16.816537418300392</v>
      </c>
      <c r="G25" s="16">
        <f t="shared" si="0"/>
        <v>1900000</v>
      </c>
      <c r="H25" s="16"/>
      <c r="I25" s="28">
        <v>200000</v>
      </c>
      <c r="J25" s="16">
        <f t="shared" si="5"/>
        <v>-11098402</v>
      </c>
      <c r="K25" s="16">
        <f t="shared" si="6"/>
        <v>1.7701618335053044</v>
      </c>
      <c r="L25" s="16">
        <f t="shared" si="1"/>
        <v>200000</v>
      </c>
      <c r="M25" s="16"/>
      <c r="N25" s="28">
        <v>200000</v>
      </c>
      <c r="O25" s="16">
        <f t="shared" si="8"/>
        <v>-11098402</v>
      </c>
      <c r="P25" s="16">
        <f t="shared" si="9"/>
        <v>1.7701618335053044</v>
      </c>
      <c r="Q25" s="16">
        <f t="shared" si="10"/>
        <v>200000</v>
      </c>
      <c r="R25" s="16"/>
    </row>
    <row r="26" spans="1:18" s="22" customFormat="1" ht="36">
      <c r="A26" s="23" t="s">
        <v>65</v>
      </c>
      <c r="B26" s="11">
        <f>SUM(B27:B32)</f>
        <v>52236356.589999996</v>
      </c>
      <c r="C26" s="11">
        <f>SUM(C27:C32)</f>
        <v>25380984.910000004</v>
      </c>
      <c r="D26" s="11">
        <f>SUM(D27:D32)</f>
        <v>28377512</v>
      </c>
      <c r="E26" s="11">
        <f t="shared" si="2"/>
        <v>-23858844.589999996</v>
      </c>
      <c r="F26" s="11">
        <f t="shared" si="3"/>
        <v>54.32521303645538</v>
      </c>
      <c r="G26" s="11">
        <f t="shared" si="0"/>
        <v>2996527.089999996</v>
      </c>
      <c r="H26" s="11">
        <f t="shared" si="4"/>
        <v>111.80618916336606</v>
      </c>
      <c r="I26" s="27">
        <f>SUM(I27:I32)</f>
        <v>27682032</v>
      </c>
      <c r="J26" s="11">
        <f t="shared" si="5"/>
        <v>-24554324.589999996</v>
      </c>
      <c r="K26" s="11">
        <f t="shared" si="6"/>
        <v>52.993803180559844</v>
      </c>
      <c r="L26" s="11">
        <f t="shared" si="1"/>
        <v>2301047.089999996</v>
      </c>
      <c r="M26" s="11">
        <f t="shared" si="7"/>
        <v>109.06602757205609</v>
      </c>
      <c r="N26" s="27">
        <f>SUM(N27:N32)</f>
        <v>23899313.28</v>
      </c>
      <c r="O26" s="11">
        <f t="shared" si="8"/>
        <v>-28337043.309999995</v>
      </c>
      <c r="P26" s="11">
        <f t="shared" si="9"/>
        <v>45.75225923121757</v>
      </c>
      <c r="Q26" s="11">
        <f t="shared" si="10"/>
        <v>-1481671.6300000027</v>
      </c>
      <c r="R26" s="11">
        <f t="shared" si="11"/>
        <v>94.16227685704887</v>
      </c>
    </row>
    <row r="27" spans="1:18" ht="15">
      <c r="A27" s="24" t="s">
        <v>66</v>
      </c>
      <c r="B27" s="16">
        <v>12162677.69</v>
      </c>
      <c r="C27" s="16">
        <f>9946876.21+3848086.12</f>
        <v>13794962.330000002</v>
      </c>
      <c r="D27" s="28">
        <v>13497512</v>
      </c>
      <c r="E27" s="16">
        <f t="shared" si="2"/>
        <v>1334834.3100000005</v>
      </c>
      <c r="F27" s="16">
        <f t="shared" si="3"/>
        <v>110.97483912689296</v>
      </c>
      <c r="G27" s="16">
        <f t="shared" si="0"/>
        <v>-297450.33000000194</v>
      </c>
      <c r="H27" s="16">
        <f t="shared" si="4"/>
        <v>97.84377569953102</v>
      </c>
      <c r="I27" s="28">
        <v>13982032</v>
      </c>
      <c r="J27" s="16">
        <f t="shared" si="5"/>
        <v>1819354.3100000005</v>
      </c>
      <c r="K27" s="16">
        <f t="shared" si="6"/>
        <v>114.9585013791482</v>
      </c>
      <c r="L27" s="16">
        <f t="shared" si="1"/>
        <v>187069.66999999806</v>
      </c>
      <c r="M27" s="16">
        <f t="shared" si="7"/>
        <v>101.35607235108702</v>
      </c>
      <c r="N27" s="29">
        <v>14399313.28</v>
      </c>
      <c r="O27" s="16">
        <f t="shared" si="8"/>
        <v>2236635.59</v>
      </c>
      <c r="P27" s="16">
        <f t="shared" si="9"/>
        <v>118.38933536682414</v>
      </c>
      <c r="Q27" s="16">
        <f t="shared" si="10"/>
        <v>604350.9499999974</v>
      </c>
      <c r="R27" s="16">
        <f t="shared" si="11"/>
        <v>104.38095397104284</v>
      </c>
    </row>
    <row r="28" spans="1:18" ht="36">
      <c r="A28" s="24" t="s">
        <v>67</v>
      </c>
      <c r="B28" s="16">
        <v>3666123.61</v>
      </c>
      <c r="C28" s="16">
        <v>1190000</v>
      </c>
      <c r="D28" s="28">
        <v>1950000</v>
      </c>
      <c r="E28" s="16">
        <f t="shared" si="2"/>
        <v>-1716123.6099999999</v>
      </c>
      <c r="F28" s="16">
        <f t="shared" si="3"/>
        <v>53.18969591426296</v>
      </c>
      <c r="G28" s="16">
        <f t="shared" si="0"/>
        <v>760000</v>
      </c>
      <c r="H28" s="16">
        <f t="shared" si="4"/>
        <v>163.8655462184874</v>
      </c>
      <c r="I28" s="28">
        <v>2000000</v>
      </c>
      <c r="J28" s="16">
        <f t="shared" si="5"/>
        <v>-1666123.6099999999</v>
      </c>
      <c r="K28" s="16">
        <f t="shared" si="6"/>
        <v>54.55353427103894</v>
      </c>
      <c r="L28" s="16">
        <f t="shared" si="1"/>
        <v>810000</v>
      </c>
      <c r="M28" s="16">
        <f t="shared" si="7"/>
        <v>168.0672268907563</v>
      </c>
      <c r="N28" s="29">
        <v>2000000</v>
      </c>
      <c r="O28" s="16">
        <f t="shared" si="8"/>
        <v>-1666123.6099999999</v>
      </c>
      <c r="P28" s="16">
        <f t="shared" si="9"/>
        <v>54.55353427103894</v>
      </c>
      <c r="Q28" s="16">
        <f t="shared" si="10"/>
        <v>810000</v>
      </c>
      <c r="R28" s="16">
        <f t="shared" si="11"/>
        <v>168.0672268907563</v>
      </c>
    </row>
    <row r="29" spans="1:18" ht="24">
      <c r="A29" s="24" t="s">
        <v>68</v>
      </c>
      <c r="B29" s="16">
        <v>9553655.04</v>
      </c>
      <c r="C29" s="16">
        <f>1172128.62+3655650+1800000+1343843.7</f>
        <v>7971622.32</v>
      </c>
      <c r="D29" s="28">
        <v>12080000</v>
      </c>
      <c r="E29" s="16">
        <f t="shared" si="2"/>
        <v>2526344.960000001</v>
      </c>
      <c r="F29" s="16">
        <f t="shared" si="3"/>
        <v>126.44375319626363</v>
      </c>
      <c r="G29" s="16">
        <f t="shared" si="0"/>
        <v>4108377.6799999997</v>
      </c>
      <c r="H29" s="16">
        <f t="shared" si="4"/>
        <v>151.53753546116317</v>
      </c>
      <c r="I29" s="28">
        <v>10000000</v>
      </c>
      <c r="J29" s="16">
        <f t="shared" si="5"/>
        <v>446344.9600000009</v>
      </c>
      <c r="K29" s="16">
        <f t="shared" si="6"/>
        <v>104.67198112273479</v>
      </c>
      <c r="L29" s="16">
        <f t="shared" si="1"/>
        <v>2028377.6799999997</v>
      </c>
      <c r="M29" s="16">
        <f t="shared" si="7"/>
        <v>125.44497968639335</v>
      </c>
      <c r="N29" s="29">
        <v>6000000</v>
      </c>
      <c r="O29" s="16">
        <f t="shared" si="8"/>
        <v>-3553655.039999999</v>
      </c>
      <c r="P29" s="16">
        <f t="shared" si="9"/>
        <v>62.803188673640875</v>
      </c>
      <c r="Q29" s="16">
        <f t="shared" si="10"/>
        <v>-1971622.3200000003</v>
      </c>
      <c r="R29" s="16">
        <f t="shared" si="11"/>
        <v>75.26698781183602</v>
      </c>
    </row>
    <row r="30" spans="1:18" ht="24">
      <c r="A30" s="24" t="s">
        <v>69</v>
      </c>
      <c r="B30" s="16">
        <v>73190.98</v>
      </c>
      <c r="C30" s="16">
        <v>625828</v>
      </c>
      <c r="D30" s="16">
        <v>0</v>
      </c>
      <c r="E30" s="16">
        <f t="shared" si="2"/>
        <v>-73190.98</v>
      </c>
      <c r="F30" s="16">
        <f t="shared" si="3"/>
        <v>0</v>
      </c>
      <c r="G30" s="16">
        <f t="shared" si="0"/>
        <v>-625828</v>
      </c>
      <c r="H30" s="16">
        <f t="shared" si="4"/>
        <v>0</v>
      </c>
      <c r="I30" s="28">
        <v>0</v>
      </c>
      <c r="J30" s="16">
        <f t="shared" si="5"/>
        <v>-73190.98</v>
      </c>
      <c r="K30" s="16">
        <f t="shared" si="6"/>
        <v>0</v>
      </c>
      <c r="L30" s="16">
        <f t="shared" si="1"/>
        <v>-625828</v>
      </c>
      <c r="M30" s="16">
        <f t="shared" si="7"/>
        <v>0</v>
      </c>
      <c r="N30" s="28">
        <v>0</v>
      </c>
      <c r="O30" s="16">
        <f t="shared" si="8"/>
        <v>-73190.98</v>
      </c>
      <c r="P30" s="16">
        <f t="shared" si="9"/>
        <v>0</v>
      </c>
      <c r="Q30" s="16">
        <f t="shared" si="10"/>
        <v>-625828</v>
      </c>
      <c r="R30" s="16">
        <f t="shared" si="11"/>
        <v>0</v>
      </c>
    </row>
    <row r="31" spans="1:18" ht="24">
      <c r="A31" s="24" t="s">
        <v>70</v>
      </c>
      <c r="B31" s="16">
        <v>1708260.46</v>
      </c>
      <c r="C31" s="16">
        <v>1798572.26</v>
      </c>
      <c r="D31" s="28">
        <v>850000</v>
      </c>
      <c r="E31" s="16">
        <f t="shared" si="2"/>
        <v>-858260.46</v>
      </c>
      <c r="F31" s="16">
        <f t="shared" si="3"/>
        <v>49.758220125284645</v>
      </c>
      <c r="G31" s="16">
        <f t="shared" si="0"/>
        <v>-948572.26</v>
      </c>
      <c r="H31" s="16">
        <f t="shared" si="4"/>
        <v>47.25970809757735</v>
      </c>
      <c r="I31" s="28">
        <v>1700000</v>
      </c>
      <c r="J31" s="16">
        <f t="shared" si="5"/>
        <v>-8260.459999999963</v>
      </c>
      <c r="K31" s="16">
        <f t="shared" si="6"/>
        <v>99.51644025056929</v>
      </c>
      <c r="L31" s="16">
        <f t="shared" si="1"/>
        <v>-98572.26000000001</v>
      </c>
      <c r="M31" s="16">
        <f t="shared" si="7"/>
        <v>94.5194161951547</v>
      </c>
      <c r="N31" s="28">
        <v>1500000</v>
      </c>
      <c r="O31" s="16">
        <f t="shared" si="8"/>
        <v>-208260.45999999996</v>
      </c>
      <c r="P31" s="16">
        <f t="shared" si="9"/>
        <v>87.80862375050232</v>
      </c>
      <c r="Q31" s="16">
        <f t="shared" si="10"/>
        <v>-298572.26</v>
      </c>
      <c r="R31" s="16">
        <f t="shared" si="11"/>
        <v>83.39948487807767</v>
      </c>
    </row>
    <row r="32" spans="1:18" ht="24">
      <c r="A32" s="24" t="s">
        <v>71</v>
      </c>
      <c r="B32" s="16">
        <v>25072448.81</v>
      </c>
      <c r="C32" s="16">
        <v>0</v>
      </c>
      <c r="D32" s="16">
        <v>0</v>
      </c>
      <c r="E32" s="16">
        <f t="shared" si="2"/>
        <v>-25072448.81</v>
      </c>
      <c r="F32" s="16">
        <f t="shared" si="3"/>
        <v>0</v>
      </c>
      <c r="G32" s="16">
        <f t="shared" si="0"/>
        <v>0</v>
      </c>
      <c r="H32" s="16"/>
      <c r="I32" s="28">
        <v>0</v>
      </c>
      <c r="J32" s="16">
        <f t="shared" si="5"/>
        <v>-25072448.81</v>
      </c>
      <c r="K32" s="16">
        <f t="shared" si="6"/>
        <v>0</v>
      </c>
      <c r="L32" s="16">
        <f t="shared" si="1"/>
        <v>0</v>
      </c>
      <c r="M32" s="16"/>
      <c r="N32" s="28">
        <v>0</v>
      </c>
      <c r="O32" s="16">
        <f t="shared" si="8"/>
        <v>-25072448.81</v>
      </c>
      <c r="P32" s="16">
        <f t="shared" si="9"/>
        <v>0</v>
      </c>
      <c r="Q32" s="16">
        <f t="shared" si="10"/>
        <v>0</v>
      </c>
      <c r="R32" s="16"/>
    </row>
    <row r="33" spans="1:18" s="22" customFormat="1" ht="48">
      <c r="A33" s="23" t="s">
        <v>72</v>
      </c>
      <c r="B33" s="27">
        <f>SUM(B34:B36)</f>
        <v>15039566.64</v>
      </c>
      <c r="C33" s="27">
        <f>SUM(C34:C36)</f>
        <v>13009402.15</v>
      </c>
      <c r="D33" s="27">
        <f>SUM(D34:D36)</f>
        <v>23253974.19</v>
      </c>
      <c r="E33" s="11">
        <f t="shared" si="2"/>
        <v>8214407.550000001</v>
      </c>
      <c r="F33" s="11">
        <f t="shared" si="3"/>
        <v>154.6186452484112</v>
      </c>
      <c r="G33" s="11">
        <f t="shared" si="0"/>
        <v>10244572.040000001</v>
      </c>
      <c r="H33" s="11">
        <f t="shared" si="4"/>
        <v>178.7474468225275</v>
      </c>
      <c r="I33" s="27">
        <f>SUM(I34:I36)</f>
        <v>12454267.93</v>
      </c>
      <c r="J33" s="11">
        <f t="shared" si="5"/>
        <v>-2585298.710000001</v>
      </c>
      <c r="K33" s="11">
        <f t="shared" si="6"/>
        <v>82.8100185870781</v>
      </c>
      <c r="L33" s="11">
        <f t="shared" si="1"/>
        <v>-555134.2200000007</v>
      </c>
      <c r="M33" s="11">
        <f t="shared" si="7"/>
        <v>95.73282297219168</v>
      </c>
      <c r="N33" s="27">
        <f>SUM(N34:N36)</f>
        <v>12454267.93</v>
      </c>
      <c r="O33" s="11">
        <f t="shared" si="8"/>
        <v>-2585298.710000001</v>
      </c>
      <c r="P33" s="11">
        <f t="shared" si="9"/>
        <v>82.8100185870781</v>
      </c>
      <c r="Q33" s="11">
        <f t="shared" si="10"/>
        <v>-555134.2200000007</v>
      </c>
      <c r="R33" s="11">
        <f t="shared" si="11"/>
        <v>95.73282297219168</v>
      </c>
    </row>
    <row r="34" spans="1:18" ht="36">
      <c r="A34" s="24" t="s">
        <v>73</v>
      </c>
      <c r="B34" s="16">
        <v>741802.38</v>
      </c>
      <c r="C34" s="16">
        <v>95093</v>
      </c>
      <c r="D34" s="16">
        <v>865765.97</v>
      </c>
      <c r="E34" s="16">
        <f t="shared" si="2"/>
        <v>123963.58999999997</v>
      </c>
      <c r="F34" s="16">
        <f t="shared" si="3"/>
        <v>116.71113403545564</v>
      </c>
      <c r="G34" s="16">
        <f t="shared" si="0"/>
        <v>770672.97</v>
      </c>
      <c r="H34" s="16" t="s">
        <v>105</v>
      </c>
      <c r="I34" s="16">
        <v>865765.97</v>
      </c>
      <c r="J34" s="16">
        <f t="shared" si="5"/>
        <v>123963.58999999997</v>
      </c>
      <c r="K34" s="16">
        <f t="shared" si="6"/>
        <v>116.71113403545564</v>
      </c>
      <c r="L34" s="16">
        <f t="shared" si="1"/>
        <v>770672.97</v>
      </c>
      <c r="M34" s="16" t="s">
        <v>105</v>
      </c>
      <c r="N34" s="16">
        <v>865765.97</v>
      </c>
      <c r="O34" s="16">
        <f t="shared" si="8"/>
        <v>123963.58999999997</v>
      </c>
      <c r="P34" s="16">
        <f t="shared" si="9"/>
        <v>116.71113403545564</v>
      </c>
      <c r="Q34" s="16">
        <f t="shared" si="10"/>
        <v>770672.97</v>
      </c>
      <c r="R34" s="16" t="s">
        <v>105</v>
      </c>
    </row>
    <row r="35" spans="1:18" ht="36">
      <c r="A35" s="24" t="s">
        <v>74</v>
      </c>
      <c r="B35" s="34">
        <v>3083263.44</v>
      </c>
      <c r="C35" s="34">
        <f>46300+2526925.44</f>
        <v>2573225.44</v>
      </c>
      <c r="D35" s="14">
        <v>13684432</v>
      </c>
      <c r="E35" s="16">
        <f t="shared" si="2"/>
        <v>10601168.56</v>
      </c>
      <c r="F35" s="16">
        <f t="shared" si="3"/>
        <v>443.8294769907822</v>
      </c>
      <c r="G35" s="16">
        <f t="shared" si="0"/>
        <v>11111206.56</v>
      </c>
      <c r="H35" s="16" t="s">
        <v>104</v>
      </c>
      <c r="I35" s="14">
        <v>2884432</v>
      </c>
      <c r="J35" s="16">
        <f t="shared" si="5"/>
        <v>-198831.43999999994</v>
      </c>
      <c r="K35" s="16">
        <f t="shared" si="6"/>
        <v>93.55126657617035</v>
      </c>
      <c r="L35" s="16">
        <f t="shared" si="1"/>
        <v>311206.56000000006</v>
      </c>
      <c r="M35" s="16">
        <f t="shared" si="7"/>
        <v>112.09402624279979</v>
      </c>
      <c r="N35" s="14">
        <v>2884432</v>
      </c>
      <c r="O35" s="16">
        <f t="shared" si="8"/>
        <v>-198831.43999999994</v>
      </c>
      <c r="P35" s="16">
        <f t="shared" si="9"/>
        <v>93.55126657617035</v>
      </c>
      <c r="Q35" s="16">
        <f t="shared" si="10"/>
        <v>311206.56000000006</v>
      </c>
      <c r="R35" s="16">
        <f t="shared" si="11"/>
        <v>112.09402624279979</v>
      </c>
    </row>
    <row r="36" spans="1:18" ht="60">
      <c r="A36" s="24" t="s">
        <v>75</v>
      </c>
      <c r="B36" s="34">
        <v>11214500.82</v>
      </c>
      <c r="C36" s="34">
        <f>6050753+4286878.14+3452.57</f>
        <v>10341083.71</v>
      </c>
      <c r="D36" s="14">
        <v>8703776.22</v>
      </c>
      <c r="E36" s="16">
        <f t="shared" si="2"/>
        <v>-2510724.5999999996</v>
      </c>
      <c r="F36" s="16">
        <f t="shared" si="3"/>
        <v>77.61180243063195</v>
      </c>
      <c r="G36" s="16">
        <f t="shared" si="0"/>
        <v>-1637307.4900000002</v>
      </c>
      <c r="H36" s="16">
        <f t="shared" si="4"/>
        <v>84.16696416047095</v>
      </c>
      <c r="I36" s="14">
        <v>8704069.96</v>
      </c>
      <c r="J36" s="16">
        <f t="shared" si="5"/>
        <v>-2510430.8599999994</v>
      </c>
      <c r="K36" s="16">
        <f t="shared" si="6"/>
        <v>77.61442171796998</v>
      </c>
      <c r="L36" s="16">
        <f t="shared" si="1"/>
        <v>-1637013.75</v>
      </c>
      <c r="M36" s="16">
        <f t="shared" si="7"/>
        <v>84.1698046751427</v>
      </c>
      <c r="N36" s="14">
        <v>8704069.96</v>
      </c>
      <c r="O36" s="16">
        <f t="shared" si="8"/>
        <v>-2510430.8599999994</v>
      </c>
      <c r="P36" s="16">
        <f t="shared" si="9"/>
        <v>77.61442171796998</v>
      </c>
      <c r="Q36" s="16">
        <f t="shared" si="10"/>
        <v>-1637013.75</v>
      </c>
      <c r="R36" s="16">
        <f t="shared" si="11"/>
        <v>84.1698046751427</v>
      </c>
    </row>
    <row r="37" spans="1:18" s="22" customFormat="1" ht="48">
      <c r="A37" s="23" t="s">
        <v>76</v>
      </c>
      <c r="B37" s="31">
        <f>SUM(B38:B39)</f>
        <v>2734387.21</v>
      </c>
      <c r="C37" s="31">
        <f>SUM(C38:C39)</f>
        <v>1625055.5</v>
      </c>
      <c r="D37" s="31">
        <f>SUM(D38:D39)</f>
        <v>2440400</v>
      </c>
      <c r="E37" s="11">
        <f t="shared" si="2"/>
        <v>-293987.20999999996</v>
      </c>
      <c r="F37" s="11">
        <f t="shared" si="3"/>
        <v>89.24851575794197</v>
      </c>
      <c r="G37" s="11">
        <f t="shared" si="0"/>
        <v>815344.5</v>
      </c>
      <c r="H37" s="11">
        <f t="shared" si="4"/>
        <v>150.17333254156551</v>
      </c>
      <c r="I37" s="31">
        <f>SUM(I38:I39)</f>
        <v>2749900</v>
      </c>
      <c r="J37" s="11">
        <f t="shared" si="5"/>
        <v>15512.790000000037</v>
      </c>
      <c r="K37" s="11">
        <f t="shared" si="6"/>
        <v>100.56732235812352</v>
      </c>
      <c r="L37" s="11">
        <f t="shared" si="1"/>
        <v>1124844.5</v>
      </c>
      <c r="M37" s="11">
        <f t="shared" si="7"/>
        <v>169.21883591052736</v>
      </c>
      <c r="N37" s="31">
        <f>SUM(N38:N39)</f>
        <v>2749900</v>
      </c>
      <c r="O37" s="11">
        <f t="shared" si="8"/>
        <v>15512.790000000037</v>
      </c>
      <c r="P37" s="11">
        <f t="shared" si="9"/>
        <v>100.56732235812352</v>
      </c>
      <c r="Q37" s="11">
        <f t="shared" si="10"/>
        <v>1124844.5</v>
      </c>
      <c r="R37" s="11">
        <f t="shared" si="11"/>
        <v>169.21883591052736</v>
      </c>
    </row>
    <row r="38" spans="1:18" ht="24">
      <c r="A38" s="24" t="s">
        <v>77</v>
      </c>
      <c r="B38" s="34">
        <v>376901.59</v>
      </c>
      <c r="C38" s="34">
        <f>109933.23</f>
        <v>109933.23</v>
      </c>
      <c r="D38" s="14">
        <v>280000</v>
      </c>
      <c r="E38" s="16">
        <f t="shared" si="2"/>
        <v>-96901.59000000003</v>
      </c>
      <c r="F38" s="16">
        <f t="shared" si="3"/>
        <v>74.28994926765895</v>
      </c>
      <c r="G38" s="16">
        <f t="shared" si="0"/>
        <v>170066.77000000002</v>
      </c>
      <c r="H38" s="16">
        <f t="shared" si="4"/>
        <v>254.7000574803451</v>
      </c>
      <c r="I38" s="14">
        <v>280000</v>
      </c>
      <c r="J38" s="16">
        <f t="shared" si="5"/>
        <v>-96901.59000000003</v>
      </c>
      <c r="K38" s="16">
        <f t="shared" si="6"/>
        <v>74.28994926765895</v>
      </c>
      <c r="L38" s="16">
        <f t="shared" si="1"/>
        <v>170066.77000000002</v>
      </c>
      <c r="M38" s="16" t="s">
        <v>112</v>
      </c>
      <c r="N38" s="14">
        <v>280000</v>
      </c>
      <c r="O38" s="16">
        <f t="shared" si="8"/>
        <v>-96901.59000000003</v>
      </c>
      <c r="P38" s="16">
        <f t="shared" si="9"/>
        <v>74.28994926765895</v>
      </c>
      <c r="Q38" s="16">
        <f t="shared" si="10"/>
        <v>170066.77000000002</v>
      </c>
      <c r="R38" s="16" t="s">
        <v>112</v>
      </c>
    </row>
    <row r="39" spans="1:18" ht="24">
      <c r="A39" s="24" t="s">
        <v>78</v>
      </c>
      <c r="B39" s="34">
        <v>2357485.62</v>
      </c>
      <c r="C39" s="34">
        <f>140400+1374722.27</f>
        <v>1515122.27</v>
      </c>
      <c r="D39" s="14">
        <v>2160400</v>
      </c>
      <c r="E39" s="16">
        <f t="shared" si="2"/>
        <v>-197085.6200000001</v>
      </c>
      <c r="F39" s="16">
        <f t="shared" si="3"/>
        <v>91.64000754329096</v>
      </c>
      <c r="G39" s="16">
        <f t="shared" si="0"/>
        <v>645277.73</v>
      </c>
      <c r="H39" s="16">
        <f t="shared" si="4"/>
        <v>142.58915222729846</v>
      </c>
      <c r="I39" s="14">
        <v>2469900</v>
      </c>
      <c r="J39" s="16">
        <f t="shared" si="5"/>
        <v>112414.37999999989</v>
      </c>
      <c r="K39" s="16">
        <f t="shared" si="6"/>
        <v>104.76840151415217</v>
      </c>
      <c r="L39" s="16">
        <f t="shared" si="1"/>
        <v>954777.73</v>
      </c>
      <c r="M39" s="16">
        <f t="shared" si="7"/>
        <v>163.01654651277747</v>
      </c>
      <c r="N39" s="14">
        <v>2469900</v>
      </c>
      <c r="O39" s="16">
        <f t="shared" si="8"/>
        <v>112414.37999999989</v>
      </c>
      <c r="P39" s="16">
        <f t="shared" si="9"/>
        <v>104.76840151415217</v>
      </c>
      <c r="Q39" s="16">
        <f t="shared" si="10"/>
        <v>954777.73</v>
      </c>
      <c r="R39" s="16">
        <f t="shared" si="11"/>
        <v>163.01654651277747</v>
      </c>
    </row>
    <row r="40" spans="1:18" s="22" customFormat="1" ht="60">
      <c r="A40" s="23" t="s">
        <v>79</v>
      </c>
      <c r="B40" s="31">
        <f>SUM(B41)</f>
        <v>168362.97</v>
      </c>
      <c r="C40" s="31">
        <f>SUM(C41)</f>
        <v>159833</v>
      </c>
      <c r="D40" s="31">
        <f>SUM(D41)</f>
        <v>80723</v>
      </c>
      <c r="E40" s="11">
        <f t="shared" si="2"/>
        <v>-87639.97</v>
      </c>
      <c r="F40" s="11">
        <f t="shared" si="3"/>
        <v>47.94581611384024</v>
      </c>
      <c r="G40" s="11">
        <f t="shared" si="0"/>
        <v>-79110</v>
      </c>
      <c r="H40" s="11">
        <f t="shared" si="4"/>
        <v>50.50458916494091</v>
      </c>
      <c r="I40" s="31">
        <f>SUM(I41)</f>
        <v>80723</v>
      </c>
      <c r="J40" s="11">
        <f t="shared" si="5"/>
        <v>-87639.97</v>
      </c>
      <c r="K40" s="11">
        <f t="shared" si="6"/>
        <v>47.94581611384024</v>
      </c>
      <c r="L40" s="11">
        <f t="shared" si="1"/>
        <v>-79110</v>
      </c>
      <c r="M40" s="11">
        <f t="shared" si="7"/>
        <v>50.50458916494091</v>
      </c>
      <c r="N40" s="31">
        <f>SUM(N41)</f>
        <v>80723</v>
      </c>
      <c r="O40" s="11">
        <f t="shared" si="8"/>
        <v>-87639.97</v>
      </c>
      <c r="P40" s="11">
        <f t="shared" si="9"/>
        <v>47.94581611384024</v>
      </c>
      <c r="Q40" s="11">
        <f t="shared" si="10"/>
        <v>-79110</v>
      </c>
      <c r="R40" s="11">
        <f t="shared" si="11"/>
        <v>50.50458916494091</v>
      </c>
    </row>
    <row r="41" spans="1:18" ht="48">
      <c r="A41" s="24" t="s">
        <v>80</v>
      </c>
      <c r="B41" s="34">
        <v>168362.97</v>
      </c>
      <c r="C41" s="34">
        <f>4200+16400+139233</f>
        <v>159833</v>
      </c>
      <c r="D41" s="14">
        <v>80723</v>
      </c>
      <c r="E41" s="16">
        <f t="shared" si="2"/>
        <v>-87639.97</v>
      </c>
      <c r="F41" s="16">
        <f t="shared" si="3"/>
        <v>47.94581611384024</v>
      </c>
      <c r="G41" s="16">
        <f t="shared" si="0"/>
        <v>-79110</v>
      </c>
      <c r="H41" s="16">
        <f t="shared" si="4"/>
        <v>50.50458916494091</v>
      </c>
      <c r="I41" s="14">
        <v>80723</v>
      </c>
      <c r="J41" s="16">
        <f t="shared" si="5"/>
        <v>-87639.97</v>
      </c>
      <c r="K41" s="16">
        <f t="shared" si="6"/>
        <v>47.94581611384024</v>
      </c>
      <c r="L41" s="16">
        <f t="shared" si="1"/>
        <v>-79110</v>
      </c>
      <c r="M41" s="16">
        <f t="shared" si="7"/>
        <v>50.50458916494091</v>
      </c>
      <c r="N41" s="14">
        <v>80723</v>
      </c>
      <c r="O41" s="16">
        <f t="shared" si="8"/>
        <v>-87639.97</v>
      </c>
      <c r="P41" s="16">
        <f t="shared" si="9"/>
        <v>47.94581611384024</v>
      </c>
      <c r="Q41" s="16">
        <f t="shared" si="10"/>
        <v>-79110</v>
      </c>
      <c r="R41" s="16">
        <f t="shared" si="11"/>
        <v>50.50458916494091</v>
      </c>
    </row>
    <row r="42" spans="1:18" s="22" customFormat="1" ht="48">
      <c r="A42" s="23" t="s">
        <v>89</v>
      </c>
      <c r="B42" s="31">
        <f>SUM(B43)</f>
        <v>0</v>
      </c>
      <c r="C42" s="31">
        <f>SUM(C43:C44)</f>
        <v>81836010.08</v>
      </c>
      <c r="D42" s="31">
        <f>SUM(D43)</f>
        <v>22089751.42</v>
      </c>
      <c r="E42" s="11">
        <f t="shared" si="2"/>
        <v>22089751.42</v>
      </c>
      <c r="F42" s="11"/>
      <c r="G42" s="11">
        <f t="shared" si="0"/>
        <v>-59746258.66</v>
      </c>
      <c r="H42" s="11">
        <f t="shared" si="4"/>
        <v>26.992703332439888</v>
      </c>
      <c r="I42" s="31">
        <f>SUM(I43)</f>
        <v>500000</v>
      </c>
      <c r="J42" s="11">
        <f t="shared" si="5"/>
        <v>500000</v>
      </c>
      <c r="K42" s="11"/>
      <c r="L42" s="11">
        <f t="shared" si="1"/>
        <v>-81336010.08</v>
      </c>
      <c r="M42" s="11">
        <f t="shared" si="7"/>
        <v>0.6109779784122144</v>
      </c>
      <c r="N42" s="31">
        <f>SUM(N43)</f>
        <v>500000</v>
      </c>
      <c r="O42" s="11">
        <f t="shared" si="8"/>
        <v>500000</v>
      </c>
      <c r="P42" s="11"/>
      <c r="Q42" s="11">
        <f t="shared" si="10"/>
        <v>-81336010.08</v>
      </c>
      <c r="R42" s="11">
        <f t="shared" si="11"/>
        <v>0.6109779784122144</v>
      </c>
    </row>
    <row r="43" spans="1:18" ht="24">
      <c r="A43" s="24" t="s">
        <v>100</v>
      </c>
      <c r="B43" s="34"/>
      <c r="C43" s="34">
        <f>6353344.14+4453465.94+70000000</f>
        <v>80806810.08</v>
      </c>
      <c r="D43" s="14">
        <v>22089751.42</v>
      </c>
      <c r="E43" s="16">
        <f t="shared" si="2"/>
        <v>22089751.42</v>
      </c>
      <c r="F43" s="16"/>
      <c r="G43" s="16">
        <f t="shared" si="0"/>
        <v>-58717058.66</v>
      </c>
      <c r="H43" s="16">
        <f t="shared" si="4"/>
        <v>27.336497255776838</v>
      </c>
      <c r="I43" s="14">
        <v>500000</v>
      </c>
      <c r="J43" s="16">
        <f t="shared" si="5"/>
        <v>500000</v>
      </c>
      <c r="K43" s="16"/>
      <c r="L43" s="16">
        <f t="shared" si="1"/>
        <v>-80306810.08</v>
      </c>
      <c r="M43" s="16">
        <f t="shared" si="7"/>
        <v>0.6187597301576343</v>
      </c>
      <c r="N43" s="14">
        <v>500000</v>
      </c>
      <c r="O43" s="16">
        <f t="shared" si="8"/>
        <v>500000</v>
      </c>
      <c r="P43" s="16"/>
      <c r="Q43" s="16">
        <f t="shared" si="10"/>
        <v>-80306810.08</v>
      </c>
      <c r="R43" s="16">
        <f t="shared" si="11"/>
        <v>0.6187597301576343</v>
      </c>
    </row>
    <row r="44" spans="1:18" ht="36">
      <c r="A44" s="24" t="s">
        <v>101</v>
      </c>
      <c r="B44" s="34"/>
      <c r="C44" s="34">
        <f>1029200</f>
        <v>1029200</v>
      </c>
      <c r="D44" s="14"/>
      <c r="E44" s="16">
        <f t="shared" si="2"/>
        <v>0</v>
      </c>
      <c r="F44" s="16"/>
      <c r="G44" s="16">
        <f t="shared" si="0"/>
        <v>-1029200</v>
      </c>
      <c r="H44" s="16">
        <f t="shared" si="4"/>
        <v>0</v>
      </c>
      <c r="I44" s="14"/>
      <c r="J44" s="16">
        <f t="shared" si="5"/>
        <v>0</v>
      </c>
      <c r="K44" s="16"/>
      <c r="L44" s="16">
        <f t="shared" si="1"/>
        <v>-1029200</v>
      </c>
      <c r="M44" s="16">
        <f t="shared" si="7"/>
        <v>0</v>
      </c>
      <c r="N44" s="14"/>
      <c r="O44" s="16">
        <f t="shared" si="8"/>
        <v>0</v>
      </c>
      <c r="P44" s="16"/>
      <c r="Q44" s="16">
        <f t="shared" si="10"/>
        <v>-1029200</v>
      </c>
      <c r="R44" s="16">
        <f t="shared" si="11"/>
        <v>0</v>
      </c>
    </row>
    <row r="45" spans="1:14" ht="15">
      <c r="A45" s="20" t="s">
        <v>99</v>
      </c>
      <c r="B45" s="35">
        <f>B7+B10+B16+B18+B21+B24+B26+B33+B37+B40+B14+B42</f>
        <v>270263992.15</v>
      </c>
      <c r="C45" s="35">
        <f>C7+C10+C16+C18+C21+C24+C26+C33+C37+C40+C14+C42</f>
        <v>285751064.56</v>
      </c>
      <c r="D45" s="35">
        <f>D7+D10+D16+D18+D21+D24+D26+D33+D37+D40+D14+D42</f>
        <v>236316423.82</v>
      </c>
      <c r="E45" s="35"/>
      <c r="F45" s="35"/>
      <c r="G45" s="35"/>
      <c r="H45" s="35"/>
      <c r="I45" s="35">
        <f>I7+I10+I16+I18+I21+I24+I26+I33+I37+I40+I14+I42</f>
        <v>197396621.93</v>
      </c>
      <c r="J45" s="35"/>
      <c r="K45" s="35"/>
      <c r="L45" s="35"/>
      <c r="M45" s="35"/>
      <c r="N45" s="35">
        <f>N7+N10+N16+N18+N21+N24+N26+N33+N37+N40+N14+N42</f>
        <v>183712898.19000003</v>
      </c>
    </row>
    <row r="46" spans="2:3" ht="15">
      <c r="B46" s="35"/>
      <c r="C46" s="35"/>
    </row>
    <row r="47" ht="15">
      <c r="C47" s="35">
        <f>37860035.57+4685401.78+4618536.34+1398284.22+18805928.3+109933.23+4200+16400+139233+180260+24647310.22+1771000+7537387.18+34371139+150000+140400+1374722.27+886556.8+24579151.55+18787.96+2230000+1172128.62+9946876.21+3848086.12+1190000+3655650+1800000+1343843.7+625828+1798572.26+6353344.14+4453465.94+1029200+70000000+13009402.15</f>
        <v>285751064.56</v>
      </c>
    </row>
  </sheetData>
  <sheetProtection/>
  <mergeCells count="16">
    <mergeCell ref="A1:L1"/>
    <mergeCell ref="A4:A6"/>
    <mergeCell ref="B4:B6"/>
    <mergeCell ref="C4:C6"/>
    <mergeCell ref="D4:D6"/>
    <mergeCell ref="E4:H4"/>
    <mergeCell ref="I4:I6"/>
    <mergeCell ref="J4:M4"/>
    <mergeCell ref="N4:N6"/>
    <mergeCell ref="O4:R4"/>
    <mergeCell ref="E5:F5"/>
    <mergeCell ref="G5:H5"/>
    <mergeCell ref="J5:K5"/>
    <mergeCell ref="L5:M5"/>
    <mergeCell ref="O5:P5"/>
    <mergeCell ref="Q5:R5"/>
  </mergeCells>
  <printOptions/>
  <pageMargins left="0.31" right="0.21" top="0.2" bottom="0.16" header="0.2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Admin</cp:lastModifiedBy>
  <cp:lastPrinted>2020-11-19T08:43:29Z</cp:lastPrinted>
  <dcterms:created xsi:type="dcterms:W3CDTF">2017-11-20T07:55:38Z</dcterms:created>
  <dcterms:modified xsi:type="dcterms:W3CDTF">2020-11-19T11:33:53Z</dcterms:modified>
  <cp:category/>
  <cp:version/>
  <cp:contentType/>
  <cp:contentStatus/>
</cp:coreProperties>
</file>